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iz.nunes\OneDrive - SFIEMT\Documentos\SENAI SORRISO\CFTV\PLANILHA UTILIZADA\"/>
    </mc:Choice>
  </mc:AlternateContent>
  <bookViews>
    <workbookView xWindow="0" yWindow="660" windowWidth="12000" windowHeight="4956" tabRatio="755" firstSheet="1" activeTab="3"/>
  </bookViews>
  <sheets>
    <sheet name="PLANILHA PADRÃO" sheetId="1" r:id="rId1"/>
    <sheet name="COMPOSIÇÃO DO BDI" sheetId="5" r:id="rId2"/>
    <sheet name="COMPOSIÇÃO DO BDI REDUZIDO" sheetId="7" r:id="rId3"/>
    <sheet name="CRONOGRAMA FÍSICO-FINANCEIRO" sheetId="49" r:id="rId4"/>
  </sheets>
  <definedNames>
    <definedName name="_xlnm._FilterDatabase" localSheetId="0" hidden="1">'PLANILHA PADRÃO'!$A$12:$F$65</definedName>
    <definedName name="_xlnm.Print_Area" localSheetId="0">'PLANILHA PADRÃO'!$A$1:$F$70</definedName>
    <definedName name="BDI">'COMPOSIÇÃO DO BDI'!$C$28</definedName>
    <definedName name="BDI_EQUI">'COMPOSIÇÃO DO BDI REDUZIDO'!$C$28</definedName>
    <definedName name="CAMINHO_DO_BD">'PLANILHA PADRÃO'!#REF!</definedName>
    <definedName name="solver_adj" localSheetId="1" hidden="1">'COMPOSIÇÃO DO BDI'!$C$8</definedName>
    <definedName name="solver_adj" localSheetId="2" hidden="1">'COMPOSIÇÃO DO BDI REDUZIDO'!$C$8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'COMPOSIÇÃO DO BDI'!$C$28</definedName>
    <definedName name="solver_lhs1" localSheetId="2" hidden="1">'COMPOSIÇÃO DO BDI REDUZIDO'!$C$28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'COMPOSIÇÃO DO BDI'!$C$28</definedName>
    <definedName name="solver_opt" localSheetId="2" hidden="1">'COMPOSIÇÃO DO BDI REDUZIDO'!$C$28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26%</definedName>
    <definedName name="solver_rhs1" localSheetId="2" hidden="1">26%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3</definedName>
    <definedName name="solver_typ" localSheetId="2" hidden="1">3</definedName>
    <definedName name="solver_val" localSheetId="1" hidden="1">0.26</definedName>
    <definedName name="solver_val" localSheetId="2" hidden="1">0.26</definedName>
    <definedName name="solver_ver" localSheetId="1" hidden="1">3</definedName>
    <definedName name="solver_ver" localSheetId="2" hidden="1">3</definedName>
  </definedNames>
  <calcPr calcId="152511"/>
  <fileRecoveryPr autoRecover="0"/>
</workbook>
</file>

<file path=xl/calcChain.xml><?xml version="1.0" encoding="utf-8"?>
<calcChain xmlns="http://schemas.openxmlformats.org/spreadsheetml/2006/main">
  <c r="C16" i="49" l="1"/>
  <c r="C15" i="49"/>
  <c r="B16" i="49"/>
  <c r="B15" i="49"/>
  <c r="C14" i="49"/>
  <c r="B14" i="49"/>
  <c r="B13" i="49"/>
  <c r="G16" i="49"/>
  <c r="G15" i="49"/>
  <c r="K15" i="49"/>
  <c r="G14" i="49"/>
  <c r="J7" i="49"/>
  <c r="G13" i="49" l="1"/>
  <c r="G19" i="49" s="1"/>
  <c r="E15" i="49"/>
  <c r="M15" i="49"/>
  <c r="N15" i="49" s="1"/>
  <c r="I14" i="49"/>
  <c r="I13" i="49" s="1"/>
  <c r="I16" i="49"/>
  <c r="K16" i="49"/>
  <c r="C13" i="49"/>
  <c r="E14" i="49"/>
  <c r="I15" i="49"/>
  <c r="E16" i="49"/>
  <c r="M16" i="49" s="1"/>
  <c r="N16" i="49" s="1"/>
  <c r="K14" i="49"/>
  <c r="K13" i="49" s="1"/>
  <c r="F65" i="1"/>
  <c r="L13" i="49" l="1"/>
  <c r="K19" i="49"/>
  <c r="M14" i="49"/>
  <c r="E13" i="49"/>
  <c r="J13" i="49"/>
  <c r="I19" i="49"/>
  <c r="C19" i="49"/>
  <c r="H13" i="49"/>
  <c r="F62" i="1"/>
  <c r="F61" i="1"/>
  <c r="D19" i="49" l="1"/>
  <c r="D16" i="49"/>
  <c r="D15" i="49"/>
  <c r="D14" i="49"/>
  <c r="J19" i="49"/>
  <c r="E19" i="49"/>
  <c r="F13" i="49"/>
  <c r="D13" i="49"/>
  <c r="N14" i="49"/>
  <c r="M13" i="49"/>
  <c r="H19" i="49"/>
  <c r="L19" i="49"/>
  <c r="F23" i="1"/>
  <c r="F19" i="49" l="1"/>
  <c r="E20" i="49"/>
  <c r="M19" i="49"/>
  <c r="N19" i="49" s="1"/>
  <c r="N13" i="49"/>
  <c r="F22" i="1"/>
  <c r="F21" i="1"/>
  <c r="F20" i="1"/>
  <c r="F19" i="1"/>
  <c r="C28" i="7"/>
  <c r="C26" i="7"/>
  <c r="C23" i="7"/>
  <c r="C17" i="7"/>
  <c r="C16" i="7"/>
  <c r="C15" i="7"/>
  <c r="C14" i="7"/>
  <c r="C13" i="7"/>
  <c r="C12" i="7"/>
  <c r="C9" i="7"/>
  <c r="C8" i="7"/>
  <c r="C28" i="5"/>
  <c r="C26" i="5"/>
  <c r="C23" i="5"/>
  <c r="C17" i="5"/>
  <c r="C16" i="5"/>
  <c r="C15" i="5"/>
  <c r="C14" i="5"/>
  <c r="C13" i="5"/>
  <c r="C12" i="5"/>
  <c r="C9" i="5"/>
  <c r="C8" i="5"/>
  <c r="F67" i="1"/>
  <c r="F66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8" i="1"/>
  <c r="F17" i="1"/>
  <c r="F16" i="1"/>
  <c r="F20" i="49" l="1"/>
  <c r="G20" i="49"/>
  <c r="F25" i="1"/>
  <c r="F15" i="1"/>
  <c r="H20" i="49" l="1"/>
  <c r="I20" i="49"/>
  <c r="F64" i="1"/>
  <c r="F69" i="1" s="1"/>
  <c r="J20" i="49" l="1"/>
  <c r="K20" i="49"/>
  <c r="L20" i="49" s="1"/>
</calcChain>
</file>

<file path=xl/sharedStrings.xml><?xml version="1.0" encoding="utf-8"?>
<sst xmlns="http://schemas.openxmlformats.org/spreadsheetml/2006/main" count="269" uniqueCount="183">
  <si>
    <t xml:space="preserve">                                 PLANILHA ORÇAMENTARIA   </t>
  </si>
  <si>
    <t>SPN-FF-003</t>
  </si>
  <si>
    <t>Folha:              1 de 1</t>
  </si>
  <si>
    <t>Revisão:      
02</t>
  </si>
  <si>
    <t>Data: 
07/10/19</t>
  </si>
  <si>
    <t>SENAI - SERVIÇO NACIONAL DE APRENDIZAGEM INDUSTRIAL - DR/MT</t>
  </si>
  <si>
    <t>CONSTRUTORA:</t>
  </si>
  <si>
    <t>RESPONSÁVEL TÉCNICO:</t>
  </si>
  <si>
    <t>ITEM</t>
  </si>
  <si>
    <t>DESCRIÇÃO</t>
  </si>
  <si>
    <t>UNID.</t>
  </si>
  <si>
    <t>QUANT.</t>
  </si>
  <si>
    <t>Valor UNIT. (R$)</t>
  </si>
  <si>
    <t>Valor Total (R$)</t>
  </si>
  <si>
    <t>1.2</t>
  </si>
  <si>
    <t>Fornecimento e Instalação de Cabo de Cobre PP 3x2,5mm²</t>
  </si>
  <si>
    <t>M</t>
  </si>
  <si>
    <t>1.3</t>
  </si>
  <si>
    <t>H</t>
  </si>
  <si>
    <t>1.2.1</t>
  </si>
  <si>
    <t>UN</t>
  </si>
  <si>
    <t>1.2.2</t>
  </si>
  <si>
    <t>1.2.3</t>
  </si>
  <si>
    <t>1.2.4</t>
  </si>
  <si>
    <t>VALOR TOTAL</t>
  </si>
  <si>
    <t xml:space="preserve">COMPOSIÇÃO DO BDI OBRAS DE ENGENHARIA        </t>
  </si>
  <si>
    <t>%</t>
  </si>
  <si>
    <t>GRUPO A</t>
  </si>
  <si>
    <t>A1</t>
  </si>
  <si>
    <r>
      <t xml:space="preserve">(AC) ADMINISTRAÇÃO CENTRAL - </t>
    </r>
    <r>
      <rPr>
        <sz val="12"/>
        <color rgb="FF000000"/>
        <rFont val="Calibri"/>
        <family val="2"/>
        <scheme val="minor"/>
      </rPr>
      <t>VARIA CONFORME O PORTE DA NÚMERO DE OBRAS EM ANDAMENTO, VOLUME FINANCEIRO DAS OBRAS A INICIAREM, ETC,  EM CADA   EM CADA EMPRESA - (ACORDAO 2622/2013 - 3,0% A 5,5%)</t>
    </r>
  </si>
  <si>
    <t>TOTAL DO GRUPO A  =</t>
  </si>
  <si>
    <t>GRUPO B</t>
  </si>
  <si>
    <t>B1</t>
  </si>
  <si>
    <r>
      <t xml:space="preserve">(DF) DESPESAS FINANCEIRAS - </t>
    </r>
    <r>
      <rPr>
        <sz val="12"/>
        <color rgb="FF000000"/>
        <rFont val="Calibri"/>
        <family val="2"/>
        <scheme val="minor"/>
      </rPr>
      <t>(ACORDAO 2622/2013 - 0,59% A 1,39%)</t>
    </r>
  </si>
  <si>
    <t>***deve estar dentro da média dos ultimos 3 meses antecedentes ao contrato</t>
  </si>
  <si>
    <t>B2</t>
  </si>
  <si>
    <r>
      <t xml:space="preserve">(S)   SEGUROS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- 0,8% A 1,0%)</t>
    </r>
  </si>
  <si>
    <r>
      <t xml:space="preserve">(G)   GARANTIAS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sz val="12"/>
        <color rgb="FF000000"/>
        <rFont val="Calibri"/>
        <family val="2"/>
        <scheme val="minor"/>
      </rPr>
      <t xml:space="preserve"> - 0,8% A 1,0%)</t>
    </r>
  </si>
  <si>
    <t>B3</t>
  </si>
  <si>
    <r>
      <t xml:space="preserve">(R)   TAXA DE RISCO E IMPREVISTOS - </t>
    </r>
    <r>
      <rPr>
        <sz val="12"/>
        <color theme="1"/>
        <rFont val="Calibri"/>
        <family val="2"/>
        <scheme val="minor"/>
      </rPr>
      <t>(ACORDAO 2622/2013 0,97% A 1,27%)</t>
    </r>
  </si>
  <si>
    <t>B4</t>
  </si>
  <si>
    <r>
      <rPr>
        <b/>
        <sz val="12"/>
        <rFont val="Calibri"/>
        <family val="2"/>
        <scheme val="minor"/>
      </rPr>
      <t xml:space="preserve">(L)    LUCRO </t>
    </r>
    <r>
      <rPr>
        <sz val="12"/>
        <color rgb="FF000000"/>
        <rFont val="Calibri"/>
        <family val="2"/>
        <scheme val="minor"/>
      </rPr>
      <t>(ACORDAO 2622/2013 6,16% A 8,96%)</t>
    </r>
  </si>
  <si>
    <t>TOTAL DO GRUPO B  =</t>
  </si>
  <si>
    <t>GRUPO C</t>
  </si>
  <si>
    <t>C1</t>
  </si>
  <si>
    <r>
      <t xml:space="preserve">ISS - </t>
    </r>
    <r>
      <rPr>
        <sz val="12"/>
        <color rgb="FF000000"/>
        <rFont val="Calibri"/>
        <family val="2"/>
        <scheme val="minor"/>
      </rPr>
      <t>(ISS% SOBRE 40% DE MÃO DE OBRA)</t>
    </r>
  </si>
  <si>
    <t>C2</t>
  </si>
  <si>
    <t>%MÃO DE OBRA</t>
  </si>
  <si>
    <t>C3</t>
  </si>
  <si>
    <t>ISS DO MUNICÍPIO</t>
  </si>
  <si>
    <t>C4</t>
  </si>
  <si>
    <t>SUBTOTAL ISS (C2 X C3) =</t>
  </si>
  <si>
    <t>C5</t>
  </si>
  <si>
    <t>PIS</t>
  </si>
  <si>
    <t>C6</t>
  </si>
  <si>
    <t>COFINS</t>
  </si>
  <si>
    <t>TOTAL DO GRUPO C  =</t>
  </si>
  <si>
    <t>TOTAL BDI (FORMULA ACORDAO 2369/2011)</t>
  </si>
  <si>
    <r>
      <t xml:space="preserve"> BDI =</t>
    </r>
    <r>
      <rPr>
        <u/>
        <sz val="12"/>
        <rFont val="Cambria"/>
        <family val="1"/>
        <scheme val="major"/>
      </rPr>
      <t xml:space="preserve"> (1+AC+S+R+G)x(1+DF)X(1+L))  -1</t>
    </r>
    <r>
      <rPr>
        <sz val="12"/>
        <rFont val="Cambria"/>
        <family val="1"/>
        <scheme val="major"/>
      </rPr>
      <t xml:space="preserve">
                                  1-I
Onde: 
AC = taxa representativa das despesas de rateio da Administração Central;
S = taxa representativa de Seguros;
R = taxa representativa de Riscos;
G = taxa representativa de Garantias;
DF = taxa representativa das Despesas Financeiras;
L = taxa representativa do Lucro;
I = taxa representativa da incidência de Impostos. 
  Observação:
  i)   Composição do BDI, intervalos admissíveis e Fórmula de cálculo nos termos do Acórdão 2622/2013 do TCU.</t>
    </r>
  </si>
  <si>
    <t xml:space="preserve">COMPOSIÇÃO DO BDI REDUZIDO                       </t>
  </si>
  <si>
    <r>
      <t xml:space="preserve">(AC) ADMINISTRAÇÃO CENTRAL - </t>
    </r>
    <r>
      <rPr>
        <sz val="12"/>
        <color rgb="FF000000"/>
        <rFont val="Calibri"/>
        <family val="2"/>
        <scheme val="minor"/>
      </rPr>
      <t>VARIA CONFORME O PORTE DA NÚMERO DE OBRAS EM ANDAMENTO, VOLUME FINANCEIRO DAS OBRAS A INICIAREM, ETC,  EM CADA   EM CADA EMPRESA - (ACORDAO 2622/2013 - 1,5% A 4,49%)</t>
    </r>
  </si>
  <si>
    <r>
      <t xml:space="preserve">(DF) DESPESAS FINANCEIRAS - </t>
    </r>
    <r>
      <rPr>
        <sz val="12"/>
        <color rgb="FF000000"/>
        <rFont val="Calibri"/>
        <family val="2"/>
        <scheme val="minor"/>
      </rPr>
      <t>(ACORDAO 2622/2013 - 0,85% A 1,11%)</t>
    </r>
  </si>
  <si>
    <r>
      <t xml:space="preserve">(S)   SEGUROS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- 0,3% A 0,82%)</t>
    </r>
  </si>
  <si>
    <r>
      <t xml:space="preserve">(G)   GARANTIAS - </t>
    </r>
    <r>
      <rPr>
        <sz val="12"/>
        <color rgb="FF000000"/>
        <rFont val="Calibri"/>
        <family val="2"/>
        <scheme val="minor"/>
      </rPr>
      <t xml:space="preserve">(ACORDAO 2622/2013 </t>
    </r>
    <r>
      <rPr>
        <b/>
        <u/>
        <sz val="12"/>
        <color rgb="FFFF0000"/>
        <rFont val="Calibri"/>
        <family val="2"/>
        <scheme val="minor"/>
      </rPr>
      <t>SEGURO + GARANTIA</t>
    </r>
    <r>
      <rPr>
        <sz val="12"/>
        <color rgb="FF000000"/>
        <rFont val="Calibri"/>
        <family val="2"/>
        <scheme val="minor"/>
      </rPr>
      <t xml:space="preserve"> - 0,3% A 0,82%)</t>
    </r>
  </si>
  <si>
    <r>
      <t xml:space="preserve">(R)   TAXA DE RISCO E IMPREVISTOS - </t>
    </r>
    <r>
      <rPr>
        <sz val="12"/>
        <color theme="1"/>
        <rFont val="Calibri"/>
        <family val="2"/>
        <scheme val="minor"/>
      </rPr>
      <t>(ACORDAO 2622/2013 0,56% A 0,89%)</t>
    </r>
  </si>
  <si>
    <r>
      <rPr>
        <b/>
        <sz val="12"/>
        <rFont val="Calibri"/>
        <family val="2"/>
        <scheme val="minor"/>
      </rPr>
      <t xml:space="preserve">(L)    LUCRO </t>
    </r>
    <r>
      <rPr>
        <sz val="12"/>
        <color rgb="FF000000"/>
        <rFont val="Calibri"/>
        <family val="2"/>
        <scheme val="minor"/>
      </rPr>
      <t>(ACORDAO 2622/2013 3,50% A 6,22%)</t>
    </r>
  </si>
  <si>
    <t>TOTAL BDI (ACORDAO 2369/2011)</t>
  </si>
  <si>
    <t xml:space="preserve"> BDI = (1+AC+S+R+G)x(1+DF)X(1+L))  -1
                                  1-I
Onde: 
AC = taxa representativa das despesas de rateio da Administração Central;
S = taxa representativa de Seguros;
R = taxa representativa de Riscos;
G = taxa representativa de Garantias;
DF = taxa representativa das Despesas Financeiras;
L = taxa representativa do Lucro;
I = taxa representativa da incidência de Impostos. 
  Observação:
  i)   Composição do BDI, intervalos admissíveis e Fórmula de cálculo nos termos do Acórdão 2622/2013 do TCU.</t>
  </si>
  <si>
    <t>ENGENHEIRO ELETRICISTA COM ENCARGOS COMPLEMENTARES</t>
  </si>
  <si>
    <t>Fornecimento e Instalação de Box Reto p/ Eletroduto 1"</t>
  </si>
  <si>
    <t>Fornecimento e Instalação de Bucha / Parafuso S8</t>
  </si>
  <si>
    <t>Fornecimento e Instalação de Vergalhão galvanizado rosca total 1/4"</t>
  </si>
  <si>
    <t>CAIXA ENTERRADA ELÉTRICA RETANGULAR, EM ALVENARIA COM TIJOLOS CERÂMICOS MACIÇOS, FUNDO COM BRITA, DIMENSÕES INTERNAS: 0,3X0,3X0,3 M. AF_12/2020</t>
  </si>
  <si>
    <t>FORNECIMENTO E INSTALAÇÃO DE PLACA CEGA DE ALUMÍNIO  P/ CONDULETE</t>
  </si>
  <si>
    <t>Fornecimento e Instalação de Arame Aço Galvanizado 18 Bwg, 1,24mm (0,009 Kg/M)</t>
  </si>
  <si>
    <t>Fornecimento e Instalação de Curva de inversão 50x50 mm</t>
  </si>
  <si>
    <t>Fornecimento e Instalação de Eletrocalha perfurada tipo U 50x50 mm, chapa 20, com tampa</t>
  </si>
  <si>
    <t>Fornecimento e Instalação de Saída lateral perfilado p/ eletroduto 1"</t>
  </si>
  <si>
    <t>Fornecimento e Instalação de Suporte vertical p/ eletrocalha metálica 50x50mm</t>
  </si>
  <si>
    <t>Fornecimento e Instalação de Tala plana perfurada - 50mm</t>
  </si>
  <si>
    <t>Fornecimento e Instalação de Tê horizontal 90° 100x50 mm, com tampa</t>
  </si>
  <si>
    <t>Fornecimento e Instalação de Arruela lisa galvanizada 1/4"</t>
  </si>
  <si>
    <t>Fornecimento e Instalação de Porca sextavada galvan. 1/4"</t>
  </si>
  <si>
    <t>CABO ELETRÔNICO CATEGORIA 6, INSTALADO EM EDIFICAÇÃO INSTITUCIONAL - FORNECIMENTO E INSTALAÇÃO. AF_11/2019</t>
  </si>
  <si>
    <t>Fornecimento e Instalação de Bandeja Frontal 1U x 300mm</t>
  </si>
  <si>
    <t>Fornecimento e Instalação de Guia de cabos fechado horizontal - 1U</t>
  </si>
  <si>
    <t>Fornecimento e Instalação de Patch Cord certificado cat.6 - conexão RJ45 x RJ45 - comp. 1,5m</t>
  </si>
  <si>
    <t>Fornecimento e Instalação de Conector Macho RJ45 - Cat.6</t>
  </si>
  <si>
    <t>CONDULETE DE ALUMÍNIO, TIPO X, PARA ELETRODUTO DE AÇO GALVANIZADO DN 25 MM (1''), APARENTE - FORNECIMENTO E INSTALAÇÃO. AF_11/2016_P</t>
  </si>
  <si>
    <t>ELETRODUTO FLEXÍVEL CORRUGADO, PEAD, DN 50 (1 1/2"), PARA REDE ENTERRADA DE DISTRIBUIÇÃO DE ENERGIA ELÉTRICA - FORNECIMENTO E INSTALAÇÃO. AF_12/2021</t>
  </si>
  <si>
    <t>ELETRODUTO DE AÇO GALVANIZADO, CLASSE LEVE, DN 25 MM (1), APARENTE, INSTALADO EM PAREDE - FORNECIMENTO E INSTALAÇÃO. AF_11/2016_P</t>
  </si>
  <si>
    <t>Fornecimento e Instalação de Eletroduto metálico flexivel, com proteção em PVC preto (sealtubo) - 1"</t>
  </si>
  <si>
    <t>LUVA DE EMENDA PARA ELETRODUTO, AÇO GALVANIZADO, DN 25 MM (1''), APARENTE, INSTALADA EM PAREDE - FORNECIMENTO E INSTALAÇÃO. AF_11/2016_P</t>
  </si>
  <si>
    <t xml:space="preserve">Fornecimento e Instalação de Saída Eletrocalha p/ Eletroduto 1" </t>
  </si>
  <si>
    <t>Fornecimento e Instalação de Redução Concêntrica - 100x50 P/ 50x50mm</t>
  </si>
  <si>
    <t>Fornecimento e Instalação de Parafuso galvan. cabeça lentilha 1/4x5/8"</t>
  </si>
  <si>
    <t xml:space="preserve">Câmera IP DOME Full HD - Sensor de imagem: 1/2.7” 2 megapixel / Progressive CMOS; Obturador eletrônico: Automático / Manual: 1/3s ~ 1/100.000s; Relação sinal-ruído: &gt; 50 dB; Detecção de movimento: até 4 áreas; Região de interesse: até 4 áreas; Máscara de vídeo: até 4 áreas; Mudança de cena; Modos de vídeo: Automático (ICR) /Colorido/ Preto e Branco; Lente: Distância focal: 2.8 mm; Abertura máxima: F2.0; Ângulo de visão: H: 102° / V: 55º; Tipo de lente: Fixa; Tipo de montagem: Montada em placa; Vídeo: Compressão de vídeo: H.264/ H.264B/ H.264H/ H.265/ MJPEG; Resolução de imagem/ proporção de tela: 2MP (1920x1080) / 16:9/16:9; Rede: Interface: RJ-45 (10/100BASE-T); Distância máxima do infravermelho: 30 metros (IR Ativo); Alimentação: 12 Vdc, PoE (802.3af); Consumo: &lt; 4,2 W; Proteção anti-surto 15 kV (vídeo e alimentação), Nível de proteção: IP67. (Referência: Intelbras VIP 1230 D Full HD ou Similar).
</t>
  </si>
  <si>
    <t>Monitor Profissional de LED Full HD, Tamanho diagonal da tela 24", Tipo: Painel direto de LED 60Hz, Resolução: Full HD 1920x1080 (16: 9), Contraste: 100.000.000:1, Tempo de resposta: 5 ms, Proporção da tela: 16: 9, Área ativa do display: 53.1 x 29.9 cm, Tipo de painel: Twisted Nematic (TN), Resolução máxima e taxa de atualização: Full HD 1920 x 1080 @ 60 Hz, Brilho: 250 cd/m2, Ângulo de visão: 170° (Horizontal) e 160° (Vertical), Cores: 16,7 milhões, Bits: 6-bit + Hi-FRC, Sinais de entrada: 1 - VGA / 1 - DVI / 1 - HDMI, Furação VESA para suporte: 100 x 100 mm, Ângulo ajustável de exibição, Áudio: Yes, Ângulo de inclinação: -5º para 25º, Fonte de energia (100 V - 240 V): Interna, Garantia: Garantia limitada de 1 ano - (Referência: ACER Modelo V246HQL ou Similar).</t>
  </si>
  <si>
    <t>Switch 24P -24 portas 10/100/1000 Mbps com negociação de velocidade (N-way), Auto MDI/MDI-X para detecção automática do padrão do cabo (normal/crossover),QoS para priorização do tráfego de dados, voz e vídeo (IEEE 802.1p), Taxa de transferência de até 2000 Mbps, Fonte de alimentação interna bivolt automática (Referência: Intelbras SG 2400QR ou Similar).</t>
  </si>
  <si>
    <t>SERVIÇOS DE INSTALAÇÃO DOS EQUIPAMENTOS E START UP</t>
  </si>
  <si>
    <t>PATCH PANEL 24 PORTAS, CATEGORIA 6 - FORNECIMENTO E INSTALAÇÃO. AF_11/2019</t>
  </si>
  <si>
    <t>MÊS</t>
  </si>
  <si>
    <t>1.1</t>
  </si>
  <si>
    <t>1.1.1</t>
  </si>
  <si>
    <t>1.1.2</t>
  </si>
  <si>
    <t>1.1.3</t>
  </si>
  <si>
    <t>1.1.6</t>
  </si>
  <si>
    <t>1.1.7</t>
  </si>
  <si>
    <t>1.1.8</t>
  </si>
  <si>
    <t>FORNECIMENTO DE MATERIAIS DE CFTV</t>
  </si>
  <si>
    <t>INFRAESTRUTURA DE CFTV</t>
  </si>
  <si>
    <t xml:space="preserve">SERVIÇOS DE INSTALAÇÃO DE EQUIPAMENTOS CFTV </t>
  </si>
  <si>
    <t>Fornecimento e Instalação de Kit de ventilação com 2 Coolers</t>
  </si>
  <si>
    <t>ENCARREGADO GERAL DE OBRAS COM ENCARGOS COMPLEMENTARES</t>
  </si>
  <si>
    <t>Fornecimento e Instalação de Anel organizador de cabos Tipo abraçadeira velcro</t>
  </si>
  <si>
    <t xml:space="preserve">Dispositivo de Gravação Digital de Vídeo em Rede (NVR) com 16 Canais para Câmeras IP,16 portas PoE+
Entrada de vídeo - Suporte para câmeras IP: 16, Protocolos suportados: INTELBRAS-1 e Onvif Perfil S, Suporte a fluxos de video simultâneos (streams) de uma mesma câmera: 3, Suporte à câmeras de outras marcas: Onvif Perfil S. Áudio - Entrada e Saída para áudio : 1 canal RCA, Suporte à câmeras IP com áudio: 16. Visualização - Saídas de vídeo: 1 HDMI e 1 VGA, Resoluções suportadas na visualização: 8MP(4K), 5MP, 4MP, 3MP, 2MP(Full HD/1080p), 1MP(HD/720p), D1, CIF1, Máscara de privacidade: Até 4 por canal, Zoom digital: Sim. Gravação - Sistema de compressão dos arquivos: H.265+/H.265/H.264+/H.264, Resoluções de gravação suportadas: 8MP (4K), 5MP, 4MP, 3MP, 2MP (Full HD/1080p), 1MP (HD/720p), D1, CIF. Inteligências de vídeo - Suporte à relatórios e gravação de inteligências de vídeo, suporte à analíticos de vídeo enviados através das câmeras IP como: Mapa de Calor, Contagem de Pessoas e Leitura de Placas. Rede - Porta Ethernet: 1 portas RJ45, (10/100/1000Mbps), Cliente DDNS: DynDNS, No-IP e Intelbras DDNS. Conexões auxiliares - Porta USB: USB 2 portas (1 no painel traseiro USB 2.0, 1 no painel frontal USB 2.0).Pode-se utilizar simultaneamente, Porta Serial: 1 porta RS232 para comunicação com PC. (Referência: NVR 16 Canais IP PoE+ 4K NVD 3316 P Intelbras ou Similar).
</t>
  </si>
  <si>
    <t xml:space="preserve">Câmera IP Bullet Full HD - Sensor de imagem: 1/3” 4 megapixel / Progressive CMOS; Obturador eletrônico: Automático / Manual: 1/3s ~ 1/100.000s; Relação sinal-ruído: &gt; 50 dB; Detecção de movimento: até 4 áreas; Região de interesse: até 4 áreas; Máscara de vídeo: até 4 áreas; Mudança de cena; Modos de vídeo: Automático (ICR) /Colorido/ Preto e Branco; Lente: Distância focal: 3.6 mm; Abertura máxima: F2.0; Zoom Digital: 16x; Ângulo de visão: H: 81° / V: 44º; Tipo de lente: Fixa; Íris: Eletrônica; Tipo de montagem: Montada em placa; Vídeo: Compressão de vídeo: H.264 / H.264B / H.265 / H.265+ / MJPEG; Resolução de imagem/ proporção de tela: 4M (2688 x 1520)/16:9; Rede: Interface: RJ-45 (10/100BASE-T); Distância máxima do infravermelho: 30 metros (IR Ativo); Alimentação: 12 Vdc, PoE (802.3af); Consumo: &lt; 4,2 W; Nível de proteção: IP67. (Referência: Intelbras VIP 1430B G2 Full HD ou Similar).
</t>
  </si>
  <si>
    <t xml:space="preserve">Disco Rígido 8 TB, compatível com o Gravador, com 3 anos de garantia. - (Referência: HD WD Purple Surveillance, 8TB, 3.5, SATA - WD81PURZ - Western Digital ou Similar).
</t>
  </si>
  <si>
    <t>NOBREAK SENOIDAL DE ENERGIA ELÉTRICA - 1000VA - Tensão de Alimentação 127/220VAC, 06 Tomadas, Tensão de Saída 127VAC (Referência: Nobreak senoidal bivolt Intelbras SNB 1000VA BI)</t>
  </si>
  <si>
    <t>CONVERSOR DE MÍDIA GIGABIT MULTIMODO 0,5KM (REF. INTELBRAS KGM 1105 OU SIMILAR)</t>
  </si>
  <si>
    <t>FORNECIMENTO E INSTALAÇÃO DE CORDÃO OPTICO MM 50/125 2,5m SC/SC</t>
  </si>
  <si>
    <t>Fornecimento e Instalação de Cabo Optico 50/125 - 6 PARES (REF.Marca: Prysmian Modelo: CFOT mm 06FO EO G (OM3)</t>
  </si>
  <si>
    <t>Fornecimento e Instalação de Rack de Piso padrão 19" - porta acrílico fumê 20U x 570 mm</t>
  </si>
  <si>
    <t>FORNECIMENTO E INSTALAÇÃO DE REGUA PARA 8 TOMADAS 2P+T 10A - 1U</t>
  </si>
  <si>
    <t>Fornecimento e Instalação de Plugue macho 2P+T - 10A</t>
  </si>
  <si>
    <r>
      <t xml:space="preserve">UNIDADE OPERACIONAL: </t>
    </r>
    <r>
      <rPr>
        <b/>
        <sz val="10"/>
        <color indexed="12"/>
        <rFont val="Arial"/>
        <family val="2"/>
      </rPr>
      <t>SENAI SORRISO</t>
    </r>
  </si>
  <si>
    <t>Fornecimento e Instalação de Rack de Parede Caixa padrão 19" - porta acrílico fumê 12U x 450 mm</t>
  </si>
  <si>
    <t>1.1.4</t>
  </si>
  <si>
    <t>1.1.5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</si>
  <si>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</si>
  <si>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</si>
  <si>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</si>
  <si>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</si>
  <si>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</si>
  <si>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</si>
  <si>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</si>
  <si>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</si>
  <si>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</si>
  <si>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</si>
  <si>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</si>
  <si>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</si>
  <si>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</si>
  <si>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</si>
  <si>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</si>
  <si>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</si>
  <si>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</si>
  <si>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</si>
  <si>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</si>
  <si>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</si>
  <si>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</si>
  <si>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</si>
  <si>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</si>
  <si>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</si>
  <si>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</si>
  <si>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</si>
  <si>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</si>
  <si>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</si>
  <si>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</si>
  <si>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</si>
  <si>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</si>
  <si>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</si>
  <si>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</si>
  <si>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1.3.1</t>
  </si>
  <si>
    <t>1.3.2</t>
  </si>
  <si>
    <t>1.3.3</t>
  </si>
  <si>
    <r>
      <t xml:space="preserve">ENDEREÇO: </t>
    </r>
    <r>
      <rPr>
        <b/>
        <sz val="10"/>
        <color indexed="12"/>
        <rFont val="Arial"/>
        <family val="2"/>
      </rPr>
      <t xml:space="preserve">R SAO CRISTOVAO Nº 436, BAIRRO/DISTRITO ÁREA DE EXPANSÃO URBANA. CEP 78.890-000, MUNICÍPIO DE SORRISO - MT
               </t>
    </r>
  </si>
  <si>
    <r>
      <t xml:space="preserve">OBRA: </t>
    </r>
    <r>
      <rPr>
        <b/>
        <sz val="10"/>
        <color indexed="12"/>
        <rFont val="Arial"/>
        <family val="2"/>
      </rPr>
      <t>CONTRATAÇÃO DE EMPRESA ESPECIALIZADA NA INSTALAÇÃO / EXECUÇÃO DO SISTEMA DO CIRCUITO FECHADO DE TV (CFTV) DA UNIDADE SENAI SORRISO, COM FORNECIMENTO DE MATERIAL E MÃO DE OBRA.</t>
    </r>
  </si>
  <si>
    <t>CRONOGRAMA FÍSICO FINANCEIRO</t>
  </si>
  <si>
    <t>VALOR:</t>
  </si>
  <si>
    <t>CRONOGRAMA FÍSICO-FINANCEIRO - OBRA:</t>
  </si>
  <si>
    <t>ETAPA TOTAL</t>
  </si>
  <si>
    <t>30 DIAS</t>
  </si>
  <si>
    <t>60 DIAS</t>
  </si>
  <si>
    <t>90 DIAS</t>
  </si>
  <si>
    <t>120 DIAS</t>
  </si>
  <si>
    <t xml:space="preserve">TOTAL </t>
  </si>
  <si>
    <t>(R$)</t>
  </si>
  <si>
    <t>(%)</t>
  </si>
  <si>
    <t>TOTAL</t>
  </si>
  <si>
    <t>TOTAL ACUMULADO</t>
  </si>
  <si>
    <t>CONTRATAÇÃO DE EMPRESA ESPECIALIZADA NA INSTALAÇÃO / EXECUÇÃO DO SISTEMA DO CIRCUITO FECHADO DE TV (CFTV) DA UNIDADE SENAI SORRISO, COM FORNECIMENTO DE MATERIAL E MÃO DE OBRA.</t>
  </si>
  <si>
    <t>CIRCUITO FECHADO DE TV (CFTV)</t>
  </si>
  <si>
    <r>
      <t xml:space="preserve">ENDEREÇO: </t>
    </r>
    <r>
      <rPr>
        <b/>
        <sz val="10"/>
        <color indexed="12"/>
        <rFont val="Arial"/>
        <family val="2"/>
      </rPr>
      <t xml:space="preserve">R SAO CRISTOVAO Nº 436, BAIRRO/DISTRITO ÁREA DE EXPANSÃO URBANA. CEP 78.890-000, MUNICÍPIO DE SORRISO - MT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</si>
</sst>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8"/>
      <name val="Arial Narrow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color rgb="FF000000"/>
      <name val="Arial Black"/>
      <family val="2"/>
    </font>
    <font>
      <b/>
      <sz val="11"/>
      <color theme="1"/>
      <name val="Arial Black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 Black"/>
      <family val="2"/>
    </font>
    <font>
      <sz val="12"/>
      <name val="Cambria"/>
      <family val="1"/>
      <scheme val="major"/>
    </font>
    <font>
      <b/>
      <sz val="8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2"/>
      <name val="Cambria"/>
      <family val="1"/>
      <scheme val="major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Garamond"/>
      <family val="1"/>
    </font>
    <font>
      <b/>
      <sz val="14"/>
      <color indexed="8"/>
      <name val="Arial"/>
      <family val="2"/>
    </font>
    <font>
      <b/>
      <sz val="12"/>
      <color rgb="FF0000FF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3" borderId="1" applyNumberFormat="0" applyAlignment="0" applyProtection="0"/>
    <xf numFmtId="9" fontId="6" fillId="0" borderId="0" applyFont="0" applyFill="0" applyBorder="0" applyAlignment="0" applyProtection="0"/>
    <xf numFmtId="0" fontId="10" fillId="2" borderId="2" applyNumberFormat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3" borderId="1" applyNumberFormat="0" applyAlignment="0" applyProtection="0"/>
  </cellStyleXfs>
  <cellXfs count="196">
    <xf numFmtId="0" fontId="0" fillId="0" borderId="0" xfId="0"/>
    <xf numFmtId="0" fontId="12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 shrinkToFit="1"/>
    </xf>
    <xf numFmtId="4" fontId="9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10" fontId="20" fillId="7" borderId="10" xfId="2" applyNumberFormat="1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vertical="center" wrapText="1"/>
    </xf>
    <xf numFmtId="10" fontId="21" fillId="7" borderId="10" xfId="2" applyNumberFormat="1" applyFont="1" applyFill="1" applyBorder="1" applyAlignment="1">
      <alignment horizontal="center" vertical="center"/>
    </xf>
    <xf numFmtId="9" fontId="0" fillId="0" borderId="0" xfId="2" applyFont="1"/>
    <xf numFmtId="0" fontId="19" fillId="7" borderId="10" xfId="0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10" fontId="21" fillId="6" borderId="10" xfId="2" applyNumberFormat="1" applyFont="1" applyFill="1" applyBorder="1" applyAlignment="1">
      <alignment horizontal="center" vertical="center"/>
    </xf>
    <xf numFmtId="10" fontId="21" fillId="8" borderId="10" xfId="2" applyNumberFormat="1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8" borderId="10" xfId="0" applyFont="1" applyFill="1" applyBorder="1" applyAlignment="1">
      <alignment vertical="center" wrapText="1"/>
    </xf>
    <xf numFmtId="0" fontId="19" fillId="8" borderId="10" xfId="0" applyFont="1" applyFill="1" applyBorder="1" applyAlignment="1">
      <alignment horizontal="right" vertical="center" wrapText="1"/>
    </xf>
    <xf numFmtId="0" fontId="19" fillId="0" borderId="10" xfId="0" applyFont="1" applyBorder="1" applyAlignment="1">
      <alignment vertical="center"/>
    </xf>
    <xf numFmtId="10" fontId="21" fillId="9" borderId="10" xfId="2" applyNumberFormat="1" applyFont="1" applyFill="1" applyBorder="1" applyAlignment="1">
      <alignment horizontal="center" vertical="center"/>
    </xf>
    <xf numFmtId="164" fontId="0" fillId="0" borderId="0" xfId="0" applyNumberFormat="1"/>
    <xf numFmtId="0" fontId="21" fillId="10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vertical="center"/>
    </xf>
    <xf numFmtId="10" fontId="21" fillId="10" borderId="10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22" fillId="10" borderId="10" xfId="0" applyFont="1" applyFill="1" applyBorder="1" applyAlignment="1">
      <alignment horizontal="right" vertical="center"/>
    </xf>
    <xf numFmtId="10" fontId="20" fillId="10" borderId="10" xfId="2" applyNumberFormat="1" applyFont="1" applyFill="1" applyBorder="1" applyAlignment="1">
      <alignment horizontal="center" vertical="center"/>
    </xf>
    <xf numFmtId="9" fontId="22" fillId="10" borderId="10" xfId="0" applyNumberFormat="1" applyFont="1" applyFill="1" applyBorder="1" applyAlignment="1">
      <alignment horizontal="right" vertical="center"/>
    </xf>
    <xf numFmtId="0" fontId="0" fillId="0" borderId="0" xfId="4" applyFont="1"/>
    <xf numFmtId="0" fontId="21" fillId="9" borderId="10" xfId="0" applyFont="1" applyFill="1" applyBorder="1" applyAlignment="1">
      <alignment horizontal="center" vertical="center"/>
    </xf>
    <xf numFmtId="9" fontId="19" fillId="9" borderId="10" xfId="0" applyNumberFormat="1" applyFont="1" applyFill="1" applyBorder="1" applyAlignment="1">
      <alignment horizontal="right" vertical="center"/>
    </xf>
    <xf numFmtId="0" fontId="19" fillId="9" borderId="10" xfId="0" applyFont="1" applyFill="1" applyBorder="1" applyAlignment="1">
      <alignment vertical="center"/>
    </xf>
    <xf numFmtId="0" fontId="19" fillId="9" borderId="10" xfId="0" applyFont="1" applyFill="1" applyBorder="1" applyAlignment="1">
      <alignment horizontal="right" vertical="center" wrapText="1"/>
    </xf>
    <xf numFmtId="0" fontId="20" fillId="0" borderId="10" xfId="0" applyFont="1" applyBorder="1"/>
    <xf numFmtId="10" fontId="21" fillId="0" borderId="10" xfId="2" applyNumberFormat="1" applyFont="1" applyBorder="1" applyAlignment="1">
      <alignment horizontal="center" vertical="center"/>
    </xf>
    <xf numFmtId="10" fontId="25" fillId="5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4" applyFont="1" applyFill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164" fontId="8" fillId="0" borderId="10" xfId="4" applyNumberFormat="1" applyFont="1" applyBorder="1" applyAlignment="1">
      <alignment vertical="center" wrapText="1"/>
    </xf>
    <xf numFmtId="164" fontId="8" fillId="0" borderId="10" xfId="4" applyNumberFormat="1" applyFont="1" applyBorder="1" applyAlignment="1">
      <alignment vertical="center"/>
    </xf>
    <xf numFmtId="10" fontId="21" fillId="7" borderId="10" xfId="8" applyNumberFormat="1" applyFont="1" applyFill="1" applyBorder="1" applyAlignment="1">
      <alignment horizontal="center" vertical="center"/>
    </xf>
    <xf numFmtId="10" fontId="21" fillId="8" borderId="10" xfId="8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wrapText="1"/>
    </xf>
    <xf numFmtId="4" fontId="9" fillId="5" borderId="10" xfId="0" applyNumberFormat="1" applyFont="1" applyFill="1" applyBorder="1" applyAlignment="1">
      <alignment horizontal="center" vertical="center" wrapText="1" shrinkToFit="1"/>
    </xf>
    <xf numFmtId="4" fontId="9" fillId="5" borderId="10" xfId="0" applyNumberFormat="1" applyFont="1" applyFill="1" applyBorder="1" applyAlignment="1">
      <alignment horizontal="center" vertical="center" wrapText="1"/>
    </xf>
    <xf numFmtId="0" fontId="9" fillId="5" borderId="16" xfId="4" applyFont="1" applyFill="1" applyBorder="1" applyAlignment="1">
      <alignment horizontal="center" vertical="center" wrapText="1"/>
    </xf>
    <xf numFmtId="0" fontId="6" fillId="0" borderId="0" xfId="6"/>
    <xf numFmtId="0" fontId="12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 wrapText="1"/>
    </xf>
    <xf numFmtId="0" fontId="18" fillId="5" borderId="10" xfId="6" applyFont="1" applyFill="1" applyBorder="1" applyAlignment="1">
      <alignment horizontal="center" vertical="center"/>
    </xf>
    <xf numFmtId="0" fontId="21" fillId="7" borderId="10" xfId="6" applyFont="1" applyFill="1" applyBorder="1" applyAlignment="1">
      <alignment horizontal="center" vertical="center"/>
    </xf>
    <xf numFmtId="0" fontId="19" fillId="7" borderId="10" xfId="6" applyFont="1" applyFill="1" applyBorder="1" applyAlignment="1">
      <alignment vertical="center" wrapText="1"/>
    </xf>
    <xf numFmtId="0" fontId="19" fillId="7" borderId="10" xfId="6" applyFont="1" applyFill="1" applyBorder="1" applyAlignment="1">
      <alignment horizontal="right" vertical="center" wrapText="1"/>
    </xf>
    <xf numFmtId="0" fontId="21" fillId="0" borderId="10" xfId="6" applyFont="1" applyBorder="1" applyAlignment="1">
      <alignment horizontal="center" vertical="center"/>
    </xf>
    <xf numFmtId="0" fontId="19" fillId="0" borderId="10" xfId="6" applyFont="1" applyBorder="1" applyAlignment="1">
      <alignment vertical="center" wrapText="1"/>
    </xf>
    <xf numFmtId="0" fontId="21" fillId="8" borderId="10" xfId="6" applyFont="1" applyFill="1" applyBorder="1" applyAlignment="1">
      <alignment horizontal="center" vertical="center"/>
    </xf>
    <xf numFmtId="0" fontId="19" fillId="8" borderId="10" xfId="6" applyFont="1" applyFill="1" applyBorder="1" applyAlignment="1">
      <alignment vertical="center" wrapText="1"/>
    </xf>
    <xf numFmtId="0" fontId="6" fillId="0" borderId="0" xfId="6" applyAlignment="1">
      <alignment vertical="center"/>
    </xf>
    <xf numFmtId="0" fontId="21" fillId="8" borderId="10" xfId="6" applyFont="1" applyFill="1" applyBorder="1" applyAlignment="1">
      <alignment vertical="center" wrapText="1"/>
    </xf>
    <xf numFmtId="0" fontId="19" fillId="8" borderId="10" xfId="6" applyFont="1" applyFill="1" applyBorder="1" applyAlignment="1">
      <alignment horizontal="right" vertical="center" wrapText="1"/>
    </xf>
    <xf numFmtId="0" fontId="19" fillId="0" borderId="10" xfId="6" applyFont="1" applyBorder="1" applyAlignment="1">
      <alignment vertical="center"/>
    </xf>
    <xf numFmtId="164" fontId="6" fillId="0" borderId="0" xfId="6" applyNumberFormat="1"/>
    <xf numFmtId="0" fontId="21" fillId="10" borderId="10" xfId="6" applyFont="1" applyFill="1" applyBorder="1" applyAlignment="1">
      <alignment horizontal="center" vertical="center"/>
    </xf>
    <xf numFmtId="0" fontId="19" fillId="10" borderId="10" xfId="6" applyFont="1" applyFill="1" applyBorder="1" applyAlignment="1">
      <alignment vertical="center"/>
    </xf>
    <xf numFmtId="0" fontId="22" fillId="10" borderId="10" xfId="6" applyFont="1" applyFill="1" applyBorder="1" applyAlignment="1">
      <alignment horizontal="right" vertical="center"/>
    </xf>
    <xf numFmtId="9" fontId="22" fillId="10" borderId="10" xfId="6" applyNumberFormat="1" applyFont="1" applyFill="1" applyBorder="1" applyAlignment="1">
      <alignment horizontal="right" vertical="center"/>
    </xf>
    <xf numFmtId="0" fontId="21" fillId="9" borderId="10" xfId="6" applyFont="1" applyFill="1" applyBorder="1" applyAlignment="1">
      <alignment horizontal="center" vertical="center"/>
    </xf>
    <xf numFmtId="9" fontId="19" fillId="9" borderId="10" xfId="6" applyNumberFormat="1" applyFont="1" applyFill="1" applyBorder="1" applyAlignment="1">
      <alignment horizontal="right" vertical="center"/>
    </xf>
    <xf numFmtId="0" fontId="19" fillId="9" borderId="10" xfId="6" applyFont="1" applyFill="1" applyBorder="1" applyAlignment="1">
      <alignment vertical="center"/>
    </xf>
    <xf numFmtId="0" fontId="19" fillId="9" borderId="10" xfId="6" applyFont="1" applyFill="1" applyBorder="1" applyAlignment="1">
      <alignment horizontal="right" vertical="center" wrapText="1"/>
    </xf>
    <xf numFmtId="0" fontId="20" fillId="0" borderId="10" xfId="6" applyFont="1" applyBorder="1"/>
    <xf numFmtId="0" fontId="6" fillId="0" borderId="0" xfId="6" applyAlignment="1">
      <alignment wrapText="1"/>
    </xf>
    <xf numFmtId="0" fontId="29" fillId="0" borderId="10" xfId="0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horizontal="left" vertical="center" wrapText="1"/>
    </xf>
    <xf numFmtId="4" fontId="29" fillId="0" borderId="10" xfId="0" applyNumberFormat="1" applyFont="1" applyBorder="1" applyAlignment="1">
      <alignment horizontal="center" vertical="center" wrapText="1"/>
    </xf>
    <xf numFmtId="164" fontId="29" fillId="0" borderId="10" xfId="4" applyNumberFormat="1" applyFont="1" applyFill="1" applyBorder="1" applyAlignment="1">
      <alignment horizontal="right" vertical="center" wrapText="1"/>
    </xf>
    <xf numFmtId="0" fontId="28" fillId="5" borderId="15" xfId="0" applyFont="1" applyFill="1" applyBorder="1" applyAlignment="1">
      <alignment vertical="center"/>
    </xf>
    <xf numFmtId="0" fontId="28" fillId="5" borderId="9" xfId="0" applyFont="1" applyFill="1" applyBorder="1" applyAlignment="1">
      <alignment vertical="center" wrapText="1"/>
    </xf>
    <xf numFmtId="164" fontId="28" fillId="5" borderId="9" xfId="0" applyNumberFormat="1" applyFont="1" applyFill="1" applyBorder="1" applyAlignment="1">
      <alignment vertical="center" wrapText="1"/>
    </xf>
    <xf numFmtId="164" fontId="28" fillId="5" borderId="16" xfId="0" applyNumberFormat="1" applyFont="1" applyFill="1" applyBorder="1" applyAlignment="1">
      <alignment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left" vertical="center" wrapText="1"/>
    </xf>
    <xf numFmtId="164" fontId="30" fillId="5" borderId="10" xfId="4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39" fontId="29" fillId="0" borderId="10" xfId="4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2" applyNumberFormat="1" applyFont="1"/>
    <xf numFmtId="49" fontId="0" fillId="0" borderId="0" xfId="0" applyNumberFormat="1" applyAlignment="1">
      <alignment vertical="center"/>
    </xf>
    <xf numFmtId="43" fontId="12" fillId="0" borderId="0" xfId="4" applyNumberFormat="1" applyFont="1" applyFill="1" applyAlignment="1">
      <alignment horizontal="right" vertical="center"/>
    </xf>
    <xf numFmtId="164" fontId="29" fillId="6" borderId="10" xfId="4" applyNumberFormat="1" applyFont="1" applyFill="1" applyBorder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4" fontId="29" fillId="0" borderId="9" xfId="0" applyNumberFormat="1" applyFont="1" applyBorder="1" applyAlignment="1">
      <alignment horizontal="left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164" fontId="29" fillId="0" borderId="9" xfId="4" applyNumberFormat="1" applyFont="1" applyFill="1" applyBorder="1" applyAlignment="1">
      <alignment horizontal="right" vertical="center" wrapText="1"/>
    </xf>
    <xf numFmtId="39" fontId="29" fillId="0" borderId="16" xfId="4" applyNumberFormat="1" applyFont="1" applyFill="1" applyBorder="1" applyAlignment="1">
      <alignment horizontal="right" vertical="center" wrapText="1"/>
    </xf>
    <xf numFmtId="44" fontId="28" fillId="5" borderId="10" xfId="20" applyFont="1" applyFill="1" applyBorder="1" applyAlignment="1">
      <alignment horizontal="left" vertical="center" wrapText="1"/>
    </xf>
    <xf numFmtId="0" fontId="8" fillId="0" borderId="0" xfId="6" applyFont="1"/>
    <xf numFmtId="0" fontId="9" fillId="11" borderId="10" xfId="6" applyFont="1" applyFill="1" applyBorder="1" applyAlignment="1">
      <alignment horizontal="center" vertical="center" wrapText="1"/>
    </xf>
    <xf numFmtId="0" fontId="9" fillId="12" borderId="10" xfId="6" applyFont="1" applyFill="1" applyBorder="1" applyAlignment="1">
      <alignment horizontal="center" vertical="center" wrapText="1"/>
    </xf>
    <xf numFmtId="0" fontId="30" fillId="13" borderId="10" xfId="6" applyFont="1" applyFill="1" applyBorder="1" applyAlignment="1">
      <alignment horizontal="center" vertical="center" wrapText="1"/>
    </xf>
    <xf numFmtId="164" fontId="14" fillId="13" borderId="10" xfId="23" applyNumberFormat="1" applyFont="1" applyFill="1" applyBorder="1" applyAlignment="1" applyProtection="1">
      <alignment horizontal="center" vertical="center" wrapText="1"/>
    </xf>
    <xf numFmtId="10" fontId="14" fillId="13" borderId="10" xfId="8" applyNumberFormat="1" applyFont="1" applyFill="1" applyBorder="1" applyAlignment="1" applyProtection="1">
      <alignment horizontal="center" vertical="center" wrapText="1"/>
    </xf>
    <xf numFmtId="0" fontId="30" fillId="13" borderId="10" xfId="6" applyFont="1" applyFill="1" applyBorder="1" applyAlignment="1">
      <alignment horizontal="left" vertical="center" wrapText="1"/>
    </xf>
    <xf numFmtId="0" fontId="29" fillId="0" borderId="10" xfId="6" applyFont="1" applyBorder="1" applyAlignment="1">
      <alignment horizontal="center" vertical="center" wrapText="1"/>
    </xf>
    <xf numFmtId="0" fontId="29" fillId="0" borderId="10" xfId="6" applyFont="1" applyBorder="1" applyAlignment="1">
      <alignment horizontal="left" vertical="center" wrapText="1"/>
    </xf>
    <xf numFmtId="164" fontId="14" fillId="0" borderId="10" xfId="23" applyNumberFormat="1" applyFont="1" applyFill="1" applyBorder="1" applyAlignment="1" applyProtection="1">
      <alignment horizontal="center" vertical="center" wrapText="1"/>
    </xf>
    <xf numFmtId="10" fontId="14" fillId="0" borderId="10" xfId="8" applyNumberFormat="1" applyFont="1" applyFill="1" applyBorder="1" applyAlignment="1" applyProtection="1">
      <alignment horizontal="center" vertical="center" wrapText="1"/>
    </xf>
    <xf numFmtId="39" fontId="14" fillId="0" borderId="10" xfId="23" applyNumberFormat="1" applyFont="1" applyFill="1" applyBorder="1" applyAlignment="1" applyProtection="1">
      <alignment horizontal="center" vertical="center" wrapText="1"/>
    </xf>
    <xf numFmtId="0" fontId="38" fillId="12" borderId="10" xfId="6" applyFont="1" applyFill="1" applyBorder="1" applyAlignment="1">
      <alignment vertical="center"/>
    </xf>
    <xf numFmtId="0" fontId="38" fillId="12" borderId="10" xfId="6" applyFont="1" applyFill="1" applyBorder="1" applyAlignment="1">
      <alignment vertical="center" wrapText="1"/>
    </xf>
    <xf numFmtId="4" fontId="39" fillId="12" borderId="10" xfId="6" applyNumberFormat="1" applyFont="1" applyFill="1" applyBorder="1" applyAlignment="1">
      <alignment horizontal="center" vertical="center"/>
    </xf>
    <xf numFmtId="9" fontId="39" fillId="12" borderId="10" xfId="8" applyFont="1" applyFill="1" applyBorder="1" applyAlignment="1" applyProtection="1">
      <alignment horizontal="center" vertical="center"/>
    </xf>
    <xf numFmtId="10" fontId="39" fillId="12" borderId="10" xfId="8" applyNumberFormat="1" applyFont="1" applyFill="1" applyBorder="1" applyAlignment="1" applyProtection="1">
      <alignment horizontal="center" vertical="center"/>
    </xf>
    <xf numFmtId="167" fontId="39" fillId="12" borderId="10" xfId="8" applyNumberFormat="1" applyFont="1" applyFill="1" applyBorder="1" applyAlignment="1" applyProtection="1">
      <alignment horizontal="center" vertical="center"/>
    </xf>
    <xf numFmtId="0" fontId="39" fillId="12" borderId="10" xfId="6" applyFont="1" applyFill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3" fillId="5" borderId="15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right" vertical="center" indent="4"/>
    </xf>
    <xf numFmtId="0" fontId="16" fillId="0" borderId="12" xfId="0" applyFont="1" applyBorder="1" applyAlignment="1">
      <alignment horizontal="right" vertical="center" indent="4"/>
    </xf>
    <xf numFmtId="0" fontId="16" fillId="0" borderId="13" xfId="0" applyFont="1" applyBorder="1" applyAlignment="1">
      <alignment horizontal="right" vertical="center" indent="4"/>
    </xf>
    <xf numFmtId="0" fontId="16" fillId="0" borderId="14" xfId="0" applyFont="1" applyBorder="1" applyAlignment="1">
      <alignment horizontal="right" vertical="center" indent="4"/>
    </xf>
    <xf numFmtId="0" fontId="16" fillId="0" borderId="0" xfId="0" applyFont="1" applyAlignment="1">
      <alignment horizontal="right" vertical="center" indent="4"/>
    </xf>
    <xf numFmtId="0" fontId="16" fillId="0" borderId="7" xfId="0" applyFont="1" applyBorder="1" applyAlignment="1">
      <alignment horizontal="right" vertical="center" indent="4"/>
    </xf>
    <xf numFmtId="0" fontId="16" fillId="0" borderId="3" xfId="0" applyFont="1" applyBorder="1" applyAlignment="1">
      <alignment horizontal="right" vertical="center" indent="4"/>
    </xf>
    <xf numFmtId="0" fontId="16" fillId="0" borderId="4" xfId="0" applyFont="1" applyBorder="1" applyAlignment="1">
      <alignment horizontal="right" vertical="center" indent="4"/>
    </xf>
    <xf numFmtId="0" fontId="16" fillId="0" borderId="8" xfId="0" applyFont="1" applyBorder="1" applyAlignment="1">
      <alignment horizontal="right" vertical="center" indent="4"/>
    </xf>
    <xf numFmtId="0" fontId="17" fillId="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6" fillId="0" borderId="10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right" vertical="center" indent="4"/>
    </xf>
    <xf numFmtId="0" fontId="16" fillId="0" borderId="12" xfId="6" applyFont="1" applyBorder="1" applyAlignment="1">
      <alignment horizontal="right" vertical="center" indent="4"/>
    </xf>
    <xf numFmtId="0" fontId="16" fillId="0" borderId="13" xfId="6" applyFont="1" applyBorder="1" applyAlignment="1">
      <alignment horizontal="right" vertical="center" indent="4"/>
    </xf>
    <xf numFmtId="0" fontId="16" fillId="0" borderId="14" xfId="6" applyFont="1" applyBorder="1" applyAlignment="1">
      <alignment horizontal="right" vertical="center" indent="4"/>
    </xf>
    <xf numFmtId="0" fontId="16" fillId="0" borderId="0" xfId="6" applyFont="1" applyAlignment="1">
      <alignment horizontal="right" vertical="center" indent="4"/>
    </xf>
    <xf numFmtId="0" fontId="16" fillId="0" borderId="7" xfId="6" applyFont="1" applyBorder="1" applyAlignment="1">
      <alignment horizontal="right" vertical="center" indent="4"/>
    </xf>
    <xf numFmtId="0" fontId="16" fillId="0" borderId="3" xfId="6" applyFont="1" applyBorder="1" applyAlignment="1">
      <alignment horizontal="right" vertical="center" indent="4"/>
    </xf>
    <xf numFmtId="0" fontId="16" fillId="0" borderId="4" xfId="6" applyFont="1" applyBorder="1" applyAlignment="1">
      <alignment horizontal="right" vertical="center" indent="4"/>
    </xf>
    <xf numFmtId="0" fontId="16" fillId="0" borderId="8" xfId="6" applyFont="1" applyBorder="1" applyAlignment="1">
      <alignment horizontal="right" vertical="center" indent="4"/>
    </xf>
    <xf numFmtId="0" fontId="17" fillId="5" borderId="10" xfId="6" applyFont="1" applyFill="1" applyBorder="1" applyAlignment="1">
      <alignment horizontal="center" vertical="center" wrapText="1"/>
    </xf>
    <xf numFmtId="0" fontId="19" fillId="7" borderId="10" xfId="6" applyFont="1" applyFill="1" applyBorder="1" applyAlignment="1">
      <alignment horizontal="center" vertical="center"/>
    </xf>
    <xf numFmtId="0" fontId="19" fillId="8" borderId="10" xfId="6" applyFont="1" applyFill="1" applyBorder="1" applyAlignment="1">
      <alignment horizontal="center" vertical="center"/>
    </xf>
    <xf numFmtId="0" fontId="19" fillId="9" borderId="10" xfId="6" applyFont="1" applyFill="1" applyBorder="1" applyAlignment="1">
      <alignment horizontal="center" vertical="center"/>
    </xf>
    <xf numFmtId="0" fontId="17" fillId="5" borderId="10" xfId="6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35" fillId="0" borderId="10" xfId="6" applyFont="1" applyBorder="1" applyAlignment="1">
      <alignment horizontal="center" vertical="center"/>
    </xf>
    <xf numFmtId="0" fontId="36" fillId="12" borderId="10" xfId="6" applyFont="1" applyFill="1" applyBorder="1" applyAlignment="1">
      <alignment horizontal="center" vertical="center" wrapText="1"/>
    </xf>
    <xf numFmtId="0" fontId="37" fillId="12" borderId="10" xfId="6" applyFont="1" applyFill="1" applyBorder="1" applyAlignment="1">
      <alignment horizontal="left" vertical="center" wrapText="1"/>
    </xf>
    <xf numFmtId="0" fontId="9" fillId="12" borderId="10" xfId="6" applyFont="1" applyFill="1" applyBorder="1" applyAlignment="1">
      <alignment horizontal="center" vertical="center" wrapText="1"/>
    </xf>
    <xf numFmtId="0" fontId="33" fillId="4" borderId="11" xfId="6" applyFont="1" applyFill="1" applyBorder="1" applyAlignment="1">
      <alignment horizontal="center" vertical="center"/>
    </xf>
    <xf numFmtId="0" fontId="33" fillId="4" borderId="12" xfId="6" applyFont="1" applyFill="1" applyBorder="1" applyAlignment="1">
      <alignment horizontal="center" vertical="center"/>
    </xf>
    <xf numFmtId="0" fontId="33" fillId="4" borderId="13" xfId="6" applyFont="1" applyFill="1" applyBorder="1" applyAlignment="1">
      <alignment horizontal="center" vertical="center"/>
    </xf>
    <xf numFmtId="0" fontId="33" fillId="4" borderId="14" xfId="6" applyFont="1" applyFill="1" applyBorder="1" applyAlignment="1">
      <alignment horizontal="center" vertical="center"/>
    </xf>
    <xf numFmtId="0" fontId="33" fillId="4" borderId="0" xfId="6" applyFont="1" applyFill="1" applyBorder="1" applyAlignment="1">
      <alignment horizontal="center" vertical="center"/>
    </xf>
    <xf numFmtId="0" fontId="33" fillId="4" borderId="7" xfId="6" applyFont="1" applyFill="1" applyBorder="1" applyAlignment="1">
      <alignment horizontal="center" vertical="center"/>
    </xf>
    <xf numFmtId="0" fontId="33" fillId="4" borderId="3" xfId="6" applyFont="1" applyFill="1" applyBorder="1" applyAlignment="1">
      <alignment horizontal="center" vertical="center"/>
    </xf>
    <xf numFmtId="0" fontId="33" fillId="4" borderId="4" xfId="6" applyFont="1" applyFill="1" applyBorder="1" applyAlignment="1">
      <alignment horizontal="center" vertical="center"/>
    </xf>
    <xf numFmtId="0" fontId="33" fillId="4" borderId="8" xfId="6" applyFont="1" applyFill="1" applyBorder="1" applyAlignment="1">
      <alignment horizontal="center" vertical="center"/>
    </xf>
    <xf numFmtId="0" fontId="34" fillId="11" borderId="10" xfId="6" applyFont="1" applyFill="1" applyBorder="1" applyAlignment="1">
      <alignment horizontal="center" vertical="center" wrapText="1"/>
    </xf>
    <xf numFmtId="0" fontId="13" fillId="11" borderId="10" xfId="6" applyFont="1" applyFill="1" applyBorder="1" applyAlignment="1">
      <alignment horizontal="left" vertical="center" wrapText="1"/>
    </xf>
    <xf numFmtId="0" fontId="13" fillId="11" borderId="10" xfId="6" applyFont="1" applyFill="1" applyBorder="1" applyAlignment="1">
      <alignment vertical="center" wrapText="1"/>
    </xf>
    <xf numFmtId="0" fontId="27" fillId="11" borderId="10" xfId="6" applyFont="1" applyFill="1" applyBorder="1" applyAlignment="1">
      <alignment horizontal="left" vertical="center"/>
    </xf>
  </cellXfs>
  <cellStyles count="24">
    <cellStyle name="Célula de Verificação" xfId="1" builtinId="23" customBuiltin="1"/>
    <cellStyle name="Célula de Verificação 2" xfId="23"/>
    <cellStyle name="Moeda" xfId="20" builtinId="4"/>
    <cellStyle name="Moeda 10" xfId="13"/>
    <cellStyle name="Moeda 2" xfId="14"/>
    <cellStyle name="Moeda 5" xfId="10"/>
    <cellStyle name="Normal" xfId="0" builtinId="0"/>
    <cellStyle name="Normal 2" xfId="6"/>
    <cellStyle name="Normal 3 2" xfId="5"/>
    <cellStyle name="Normal 3 3" xfId="7"/>
    <cellStyle name="Normal 4 2" xfId="9"/>
    <cellStyle name="Porcentagem" xfId="2" builtinId="5"/>
    <cellStyle name="Porcentagem 2" xfId="8"/>
    <cellStyle name="Saída" xfId="3" builtinId="21" customBuiltin="1"/>
    <cellStyle name="Separador de milhares 2" xfId="16"/>
    <cellStyle name="Separador de milhares 2 2" xfId="12"/>
    <cellStyle name="Vírgula" xfId="4" builtinId="3"/>
    <cellStyle name="Vírgula 14" xfId="15"/>
    <cellStyle name="Vírgula 2" xfId="11"/>
    <cellStyle name="Vírgula 2 10" xfId="21"/>
    <cellStyle name="Vírgula 2 3" xfId="22"/>
    <cellStyle name="Vírgula 2 4" xfId="19"/>
    <cellStyle name="Vírgula 3" xfId="17"/>
    <cellStyle name="Vírgula 4" xfId="1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1343025</xdr:colOff>
      <xdr:row>3</xdr:row>
      <xdr:rowOff>57150</xdr:rowOff>
    </xdr:to>
    <xdr:pic>
      <xdr:nvPicPr>
        <xdr:cNvPr id="9" name="Imagem 5" descr="SENAI_AZUL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1</xdr:col>
      <xdr:colOff>1447800</xdr:colOff>
      <xdr:row>4</xdr:row>
      <xdr:rowOff>85725</xdr:rowOff>
    </xdr:to>
    <xdr:pic>
      <xdr:nvPicPr>
        <xdr:cNvPr id="3" name="Imagem 5" descr="SENAI_AZUL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1</xdr:col>
      <xdr:colOff>1447800</xdr:colOff>
      <xdr:row>4</xdr:row>
      <xdr:rowOff>85725</xdr:rowOff>
    </xdr:to>
    <xdr:pic>
      <xdr:nvPicPr>
        <xdr:cNvPr id="3" name="Imagem 5" descr="SENAI_AZUL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outlinePr summaryBelow="0"/>
    <pageSetUpPr fitToPage="1"/>
  </sheetPr>
  <dimension ref="A1:F74"/>
  <sheetViews>
    <sheetView showZeros="0" topLeftCell="A67" zoomScaleNormal="100" zoomScaleSheetLayoutView="100" workbookViewId="0">
      <selection activeCell="B74" sqref="B74"/>
    </sheetView>
  </sheetViews>
  <sheetFormatPr defaultColWidth="9.109375" defaultRowHeight="10.199999999999999" x14ac:dyDescent="0.25"/>
  <cols>
    <col min="1" max="1" width="7.44140625" style="6" customWidth="1"/>
    <col min="2" max="2" width="57.44140625" style="42" customWidth="1"/>
    <col min="3" max="3" width="6.109375" style="6" customWidth="1"/>
    <col min="4" max="4" width="10" style="43" bestFit="1" customWidth="1"/>
    <col min="5" max="5" width="10.6640625" style="43" customWidth="1"/>
    <col min="6" max="6" width="12.88671875" style="43" customWidth="1"/>
    <col min="7" max="16384" width="9.109375" style="1"/>
  </cols>
  <sheetData>
    <row r="1" spans="1:6" ht="12.75" customHeight="1" x14ac:dyDescent="0.25">
      <c r="A1" s="127" t="s">
        <v>0</v>
      </c>
      <c r="B1" s="128"/>
      <c r="C1" s="129"/>
      <c r="D1" s="124" t="s">
        <v>1</v>
      </c>
      <c r="E1" s="124"/>
      <c r="F1" s="124"/>
    </row>
    <row r="2" spans="1:6" ht="12.75" customHeight="1" x14ac:dyDescent="0.25">
      <c r="A2" s="130"/>
      <c r="B2" s="131"/>
      <c r="C2" s="132"/>
      <c r="D2" s="124"/>
      <c r="E2" s="124"/>
      <c r="F2" s="124"/>
    </row>
    <row r="3" spans="1:6" ht="12.75" customHeight="1" x14ac:dyDescent="0.25">
      <c r="A3" s="130"/>
      <c r="B3" s="131"/>
      <c r="C3" s="132"/>
      <c r="D3" s="125" t="s">
        <v>2</v>
      </c>
      <c r="E3" s="125" t="s">
        <v>3</v>
      </c>
      <c r="F3" s="125" t="s">
        <v>4</v>
      </c>
    </row>
    <row r="4" spans="1:6" ht="12.75" customHeight="1" x14ac:dyDescent="0.25">
      <c r="A4" s="133"/>
      <c r="B4" s="134"/>
      <c r="C4" s="135"/>
      <c r="D4" s="126"/>
      <c r="E4" s="126"/>
      <c r="F4" s="126"/>
    </row>
    <row r="5" spans="1:6" ht="13.2" x14ac:dyDescent="0.25">
      <c r="A5" s="142" t="s">
        <v>5</v>
      </c>
      <c r="B5" s="143"/>
      <c r="C5" s="143"/>
      <c r="D5" s="143"/>
      <c r="E5" s="143"/>
      <c r="F5" s="144"/>
    </row>
    <row r="6" spans="1:6" ht="37.200000000000003" customHeight="1" x14ac:dyDescent="0.25">
      <c r="A6" s="136" t="s">
        <v>166</v>
      </c>
      <c r="B6" s="137"/>
      <c r="C6" s="137"/>
      <c r="D6" s="137"/>
      <c r="E6" s="137"/>
      <c r="F6" s="138"/>
    </row>
    <row r="7" spans="1:6" ht="13.2" x14ac:dyDescent="0.25">
      <c r="A7" s="136" t="s">
        <v>125</v>
      </c>
      <c r="B7" s="137"/>
      <c r="C7" s="137"/>
      <c r="D7" s="137"/>
      <c r="E7" s="137"/>
      <c r="F7" s="138"/>
    </row>
    <row r="8" spans="1:6" ht="43.8" customHeight="1" x14ac:dyDescent="0.25">
      <c r="A8" s="136" t="s">
        <v>165</v>
      </c>
      <c r="B8" s="137"/>
      <c r="C8" s="137"/>
      <c r="D8" s="137"/>
      <c r="E8" s="137"/>
      <c r="F8" s="138"/>
    </row>
    <row r="9" spans="1:6" ht="13.2" x14ac:dyDescent="0.25">
      <c r="A9" s="145" t="s">
        <v>6</v>
      </c>
      <c r="B9" s="146"/>
      <c r="C9" s="146"/>
      <c r="D9" s="146"/>
      <c r="E9" s="146"/>
      <c r="F9" s="147"/>
    </row>
    <row r="10" spans="1:6" ht="13.2" x14ac:dyDescent="0.25">
      <c r="A10" s="136" t="s">
        <v>7</v>
      </c>
      <c r="B10" s="137"/>
      <c r="C10" s="137"/>
      <c r="D10" s="137"/>
      <c r="E10" s="137"/>
      <c r="F10" s="138"/>
    </row>
    <row r="11" spans="1:6" ht="13.8" x14ac:dyDescent="0.25">
      <c r="A11" s="139"/>
      <c r="B11" s="140"/>
      <c r="C11" s="140"/>
      <c r="D11" s="140"/>
      <c r="E11" s="140"/>
      <c r="F11" s="141"/>
    </row>
    <row r="12" spans="1:6" ht="27.6" x14ac:dyDescent="0.25">
      <c r="A12" s="49" t="s">
        <v>8</v>
      </c>
      <c r="B12" s="50" t="s">
        <v>9</v>
      </c>
      <c r="C12" s="49" t="s">
        <v>10</v>
      </c>
      <c r="D12" s="51" t="s">
        <v>11</v>
      </c>
      <c r="E12" s="52" t="s">
        <v>12</v>
      </c>
      <c r="F12" s="53" t="s">
        <v>13</v>
      </c>
    </row>
    <row r="13" spans="1:6" ht="13.8" x14ac:dyDescent="0.25">
      <c r="A13" s="2"/>
      <c r="B13" s="5"/>
      <c r="C13" s="3"/>
      <c r="D13" s="4"/>
      <c r="E13" s="46"/>
      <c r="F13" s="45"/>
    </row>
    <row r="14" spans="1:6" ht="13.8" x14ac:dyDescent="0.25">
      <c r="A14" s="89">
        <v>1</v>
      </c>
      <c r="B14" s="90" t="s">
        <v>181</v>
      </c>
      <c r="C14" s="90"/>
      <c r="D14" s="91"/>
      <c r="E14" s="91"/>
      <c r="F14" s="91"/>
    </row>
    <row r="15" spans="1:6" ht="13.8" x14ac:dyDescent="0.25">
      <c r="A15" s="89" t="s">
        <v>102</v>
      </c>
      <c r="B15" s="90" t="s">
        <v>109</v>
      </c>
      <c r="C15" s="90"/>
      <c r="D15" s="91"/>
      <c r="E15" s="91"/>
      <c r="F15" s="91">
        <f>SUBTOTAL(9,F16:F23)</f>
        <v>97436.83</v>
      </c>
    </row>
    <row r="16" spans="1:6" ht="193.2" x14ac:dyDescent="0.25">
      <c r="A16" s="81" t="s">
        <v>103</v>
      </c>
      <c r="B16" s="82" t="s">
        <v>116</v>
      </c>
      <c r="C16" s="83" t="s">
        <v>20</v>
      </c>
      <c r="D16" s="84">
        <v>31</v>
      </c>
      <c r="E16" s="93">
        <v>804.16</v>
      </c>
      <c r="F16" s="84">
        <f t="shared" ref="F16:F22" si="0">ROUND(D16*E16,2)</f>
        <v>24928.959999999999</v>
      </c>
    </row>
    <row r="17" spans="1:6" ht="189.6" customHeight="1" x14ac:dyDescent="0.25">
      <c r="A17" s="81" t="s">
        <v>104</v>
      </c>
      <c r="B17" s="82" t="s">
        <v>96</v>
      </c>
      <c r="C17" s="83" t="s">
        <v>20</v>
      </c>
      <c r="D17" s="84">
        <v>39</v>
      </c>
      <c r="E17" s="93">
        <v>573.55999999999995</v>
      </c>
      <c r="F17" s="84">
        <f t="shared" si="0"/>
        <v>22368.84</v>
      </c>
    </row>
    <row r="18" spans="1:6" ht="151.80000000000001" x14ac:dyDescent="0.25">
      <c r="A18" s="81" t="s">
        <v>105</v>
      </c>
      <c r="B18" s="82" t="s">
        <v>97</v>
      </c>
      <c r="C18" s="83" t="s">
        <v>20</v>
      </c>
      <c r="D18" s="84">
        <v>1</v>
      </c>
      <c r="E18" s="93">
        <v>1317.88</v>
      </c>
      <c r="F18" s="84">
        <f t="shared" si="0"/>
        <v>1317.88</v>
      </c>
    </row>
    <row r="19" spans="1:6" ht="69" x14ac:dyDescent="0.25">
      <c r="A19" s="81" t="s">
        <v>127</v>
      </c>
      <c r="B19" s="82" t="s">
        <v>98</v>
      </c>
      <c r="C19" s="83" t="s">
        <v>20</v>
      </c>
      <c r="D19" s="84">
        <v>1</v>
      </c>
      <c r="E19" s="93">
        <v>1847.47</v>
      </c>
      <c r="F19" s="84">
        <f t="shared" si="0"/>
        <v>1847.47</v>
      </c>
    </row>
    <row r="20" spans="1:6" ht="289.8" x14ac:dyDescent="0.25">
      <c r="A20" s="81" t="s">
        <v>128</v>
      </c>
      <c r="B20" s="82" t="s">
        <v>115</v>
      </c>
      <c r="C20" s="83" t="s">
        <v>20</v>
      </c>
      <c r="D20" s="84">
        <v>6</v>
      </c>
      <c r="E20" s="93">
        <v>4210.9399999999996</v>
      </c>
      <c r="F20" s="84">
        <f t="shared" si="0"/>
        <v>25265.64</v>
      </c>
    </row>
    <row r="21" spans="1:6" ht="55.2" x14ac:dyDescent="0.25">
      <c r="A21" s="81" t="s">
        <v>106</v>
      </c>
      <c r="B21" s="82" t="s">
        <v>117</v>
      </c>
      <c r="C21" s="83" t="s">
        <v>20</v>
      </c>
      <c r="D21" s="84">
        <v>6</v>
      </c>
      <c r="E21" s="93">
        <v>2789.91</v>
      </c>
      <c r="F21" s="84">
        <f t="shared" si="0"/>
        <v>16739.46</v>
      </c>
    </row>
    <row r="22" spans="1:6" ht="41.4" x14ac:dyDescent="0.25">
      <c r="A22" s="81" t="s">
        <v>107</v>
      </c>
      <c r="B22" s="82" t="s">
        <v>118</v>
      </c>
      <c r="C22" s="83" t="s">
        <v>20</v>
      </c>
      <c r="D22" s="84">
        <v>2</v>
      </c>
      <c r="E22" s="93">
        <v>2175.98</v>
      </c>
      <c r="F22" s="84">
        <f t="shared" si="0"/>
        <v>4351.96</v>
      </c>
    </row>
    <row r="23" spans="1:6" ht="27.6" x14ac:dyDescent="0.25">
      <c r="A23" s="81" t="s">
        <v>108</v>
      </c>
      <c r="B23" s="82" t="s">
        <v>119</v>
      </c>
      <c r="C23" s="83" t="s">
        <v>20</v>
      </c>
      <c r="D23" s="84">
        <v>1</v>
      </c>
      <c r="E23" s="93">
        <v>616.62</v>
      </c>
      <c r="F23" s="84">
        <f t="shared" ref="F23" si="1">ROUND(D23*E23,2)</f>
        <v>616.62</v>
      </c>
    </row>
    <row r="24" spans="1:6" ht="13.8" x14ac:dyDescent="0.25">
      <c r="A24" s="81"/>
      <c r="B24" s="82"/>
      <c r="C24" s="83"/>
      <c r="D24" s="84"/>
      <c r="E24" s="93"/>
      <c r="F24" s="84"/>
    </row>
    <row r="25" spans="1:6" ht="13.8" x14ac:dyDescent="0.25">
      <c r="A25" s="89" t="s">
        <v>14</v>
      </c>
      <c r="B25" s="90" t="s">
        <v>110</v>
      </c>
      <c r="C25" s="90"/>
      <c r="D25" s="91"/>
      <c r="E25" s="91"/>
      <c r="F25" s="91">
        <f>SUBTOTAL(9,F26:F62)</f>
        <v>66586.060000000012</v>
      </c>
    </row>
    <row r="26" spans="1:6" ht="13.8" x14ac:dyDescent="0.25">
      <c r="A26" s="81" t="s">
        <v>19</v>
      </c>
      <c r="B26" s="82" t="s">
        <v>69</v>
      </c>
      <c r="C26" s="83" t="s">
        <v>20</v>
      </c>
      <c r="D26" s="98">
        <v>140</v>
      </c>
      <c r="E26" s="93">
        <v>5.85</v>
      </c>
      <c r="F26" s="84">
        <f t="shared" ref="F26:F34" si="2">ROUND(D26*E26,2)</f>
        <v>819</v>
      </c>
    </row>
    <row r="27" spans="1:6" ht="27.6" x14ac:dyDescent="0.25">
      <c r="A27" s="81" t="s">
        <v>21</v>
      </c>
      <c r="B27" s="82" t="s">
        <v>114</v>
      </c>
      <c r="C27" s="83" t="s">
        <v>20</v>
      </c>
      <c r="D27" s="98">
        <v>70</v>
      </c>
      <c r="E27" s="93">
        <v>2.97</v>
      </c>
      <c r="F27" s="84">
        <f t="shared" si="2"/>
        <v>207.9</v>
      </c>
    </row>
    <row r="28" spans="1:6" ht="13.8" x14ac:dyDescent="0.25">
      <c r="A28" s="81" t="s">
        <v>22</v>
      </c>
      <c r="B28" s="82" t="s">
        <v>70</v>
      </c>
      <c r="C28" s="83" t="s">
        <v>20</v>
      </c>
      <c r="D28" s="98">
        <v>230</v>
      </c>
      <c r="E28" s="93">
        <v>4.7699999999999996</v>
      </c>
      <c r="F28" s="84">
        <f t="shared" si="2"/>
        <v>1097.0999999999999</v>
      </c>
    </row>
    <row r="29" spans="1:6" ht="13.8" x14ac:dyDescent="0.25">
      <c r="A29" s="81" t="s">
        <v>23</v>
      </c>
      <c r="B29" s="82" t="s">
        <v>71</v>
      </c>
      <c r="C29" s="83" t="s">
        <v>16</v>
      </c>
      <c r="D29" s="98">
        <v>4</v>
      </c>
      <c r="E29" s="93">
        <v>21.78</v>
      </c>
      <c r="F29" s="84">
        <f t="shared" si="2"/>
        <v>87.12</v>
      </c>
    </row>
    <row r="30" spans="1:6" ht="41.4" x14ac:dyDescent="0.25">
      <c r="A30" s="81" t="s">
        <v>129</v>
      </c>
      <c r="B30" s="82" t="s">
        <v>72</v>
      </c>
      <c r="C30" s="83" t="s">
        <v>20</v>
      </c>
      <c r="D30" s="98">
        <v>5</v>
      </c>
      <c r="E30" s="93">
        <v>185.3</v>
      </c>
      <c r="F30" s="84">
        <f t="shared" si="2"/>
        <v>926.5</v>
      </c>
    </row>
    <row r="31" spans="1:6" ht="41.4" x14ac:dyDescent="0.25">
      <c r="A31" s="81" t="s">
        <v>130</v>
      </c>
      <c r="B31" s="82" t="s">
        <v>88</v>
      </c>
      <c r="C31" s="83" t="s">
        <v>20</v>
      </c>
      <c r="D31" s="98">
        <v>140</v>
      </c>
      <c r="E31" s="93">
        <v>50.27</v>
      </c>
      <c r="F31" s="84">
        <f t="shared" si="2"/>
        <v>7037.8</v>
      </c>
    </row>
    <row r="32" spans="1:6" ht="27.6" x14ac:dyDescent="0.25">
      <c r="A32" s="81" t="s">
        <v>131</v>
      </c>
      <c r="B32" s="82" t="s">
        <v>73</v>
      </c>
      <c r="C32" s="83" t="s">
        <v>20</v>
      </c>
      <c r="D32" s="98">
        <v>140</v>
      </c>
      <c r="E32" s="93">
        <v>36.42</v>
      </c>
      <c r="F32" s="84">
        <f t="shared" si="2"/>
        <v>5098.8</v>
      </c>
    </row>
    <row r="33" spans="1:6" ht="41.4" x14ac:dyDescent="0.25">
      <c r="A33" s="81" t="s">
        <v>132</v>
      </c>
      <c r="B33" s="82" t="s">
        <v>89</v>
      </c>
      <c r="C33" s="83" t="s">
        <v>16</v>
      </c>
      <c r="D33" s="98">
        <v>200</v>
      </c>
      <c r="E33" s="93">
        <v>8.2799999999999994</v>
      </c>
      <c r="F33" s="84">
        <f t="shared" si="2"/>
        <v>1656</v>
      </c>
    </row>
    <row r="34" spans="1:6" ht="41.4" x14ac:dyDescent="0.25">
      <c r="A34" s="81" t="s">
        <v>133</v>
      </c>
      <c r="B34" s="82" t="s">
        <v>90</v>
      </c>
      <c r="C34" s="83" t="s">
        <v>16</v>
      </c>
      <c r="D34" s="98">
        <v>230</v>
      </c>
      <c r="E34" s="93">
        <v>37.92</v>
      </c>
      <c r="F34" s="84">
        <f t="shared" si="2"/>
        <v>8721.6</v>
      </c>
    </row>
    <row r="35" spans="1:6" ht="27.6" x14ac:dyDescent="0.25">
      <c r="A35" s="81" t="s">
        <v>134</v>
      </c>
      <c r="B35" s="82" t="s">
        <v>91</v>
      </c>
      <c r="C35" s="83" t="s">
        <v>16</v>
      </c>
      <c r="D35" s="98">
        <v>100</v>
      </c>
      <c r="E35" s="93">
        <v>29.45</v>
      </c>
      <c r="F35" s="84">
        <f t="shared" ref="F35:F46" si="3">ROUND(D35*E35,2)</f>
        <v>2945</v>
      </c>
    </row>
    <row r="36" spans="1:6" ht="27.6" x14ac:dyDescent="0.25">
      <c r="A36" s="81" t="s">
        <v>135</v>
      </c>
      <c r="B36" s="82" t="s">
        <v>74</v>
      </c>
      <c r="C36" s="83" t="s">
        <v>16</v>
      </c>
      <c r="D36" s="98">
        <v>140</v>
      </c>
      <c r="E36" s="93">
        <v>0.88</v>
      </c>
      <c r="F36" s="84">
        <f t="shared" si="3"/>
        <v>123.2</v>
      </c>
    </row>
    <row r="37" spans="1:6" ht="41.4" x14ac:dyDescent="0.25">
      <c r="A37" s="81" t="s">
        <v>136</v>
      </c>
      <c r="B37" s="82" t="s">
        <v>92</v>
      </c>
      <c r="C37" s="83" t="s">
        <v>20</v>
      </c>
      <c r="D37" s="98">
        <v>280</v>
      </c>
      <c r="E37" s="93">
        <v>13.45</v>
      </c>
      <c r="F37" s="84">
        <f t="shared" si="3"/>
        <v>3766</v>
      </c>
    </row>
    <row r="38" spans="1:6" ht="13.8" x14ac:dyDescent="0.25">
      <c r="A38" s="81" t="s">
        <v>137</v>
      </c>
      <c r="B38" s="82" t="s">
        <v>75</v>
      </c>
      <c r="C38" s="83" t="s">
        <v>20</v>
      </c>
      <c r="D38" s="98">
        <v>1</v>
      </c>
      <c r="E38" s="93">
        <v>38.92</v>
      </c>
      <c r="F38" s="84">
        <f t="shared" si="3"/>
        <v>38.92</v>
      </c>
    </row>
    <row r="39" spans="1:6" ht="27.6" x14ac:dyDescent="0.25">
      <c r="A39" s="81" t="s">
        <v>138</v>
      </c>
      <c r="B39" s="82" t="s">
        <v>76</v>
      </c>
      <c r="C39" s="83" t="s">
        <v>16</v>
      </c>
      <c r="D39" s="98">
        <v>2</v>
      </c>
      <c r="E39" s="93">
        <v>63.34</v>
      </c>
      <c r="F39" s="84">
        <f t="shared" si="3"/>
        <v>126.68</v>
      </c>
    </row>
    <row r="40" spans="1:6" ht="27.6" x14ac:dyDescent="0.25">
      <c r="A40" s="81" t="s">
        <v>139</v>
      </c>
      <c r="B40" s="82" t="s">
        <v>120</v>
      </c>
      <c r="C40" s="83" t="s">
        <v>20</v>
      </c>
      <c r="D40" s="98">
        <v>2</v>
      </c>
      <c r="E40" s="93">
        <v>195.45</v>
      </c>
      <c r="F40" s="84">
        <f>ROUND(D40*E40,2)</f>
        <v>390.9</v>
      </c>
    </row>
    <row r="41" spans="1:6" ht="27.6" x14ac:dyDescent="0.25">
      <c r="A41" s="81" t="s">
        <v>140</v>
      </c>
      <c r="B41" s="82" t="s">
        <v>121</v>
      </c>
      <c r="C41" s="83" t="s">
        <v>16</v>
      </c>
      <c r="D41" s="98">
        <v>167</v>
      </c>
      <c r="E41" s="93">
        <v>19.27</v>
      </c>
      <c r="F41" s="84">
        <f>ROUND(D41*E41,2)</f>
        <v>3218.09</v>
      </c>
    </row>
    <row r="42" spans="1:6" ht="13.8" x14ac:dyDescent="0.25">
      <c r="A42" s="81" t="s">
        <v>141</v>
      </c>
      <c r="B42" s="82" t="s">
        <v>93</v>
      </c>
      <c r="C42" s="83" t="s">
        <v>20</v>
      </c>
      <c r="D42" s="98">
        <v>8</v>
      </c>
      <c r="E42" s="93">
        <v>11.78</v>
      </c>
      <c r="F42" s="84">
        <f t="shared" si="3"/>
        <v>94.24</v>
      </c>
    </row>
    <row r="43" spans="1:6" ht="13.8" x14ac:dyDescent="0.25">
      <c r="A43" s="81" t="s">
        <v>142</v>
      </c>
      <c r="B43" s="82" t="s">
        <v>77</v>
      </c>
      <c r="C43" s="83" t="s">
        <v>20</v>
      </c>
      <c r="D43" s="98">
        <v>20</v>
      </c>
      <c r="E43" s="93">
        <v>18.77</v>
      </c>
      <c r="F43" s="84">
        <f t="shared" si="3"/>
        <v>375.4</v>
      </c>
    </row>
    <row r="44" spans="1:6" ht="27.6" x14ac:dyDescent="0.25">
      <c r="A44" s="81" t="s">
        <v>143</v>
      </c>
      <c r="B44" s="82" t="s">
        <v>78</v>
      </c>
      <c r="C44" s="83" t="s">
        <v>20</v>
      </c>
      <c r="D44" s="98">
        <v>2</v>
      </c>
      <c r="E44" s="93">
        <v>21.22</v>
      </c>
      <c r="F44" s="84">
        <f t="shared" si="3"/>
        <v>42.44</v>
      </c>
    </row>
    <row r="45" spans="1:6" ht="13.8" x14ac:dyDescent="0.25">
      <c r="A45" s="81" t="s">
        <v>144</v>
      </c>
      <c r="B45" s="82" t="s">
        <v>79</v>
      </c>
      <c r="C45" s="83" t="s">
        <v>20</v>
      </c>
      <c r="D45" s="98">
        <v>10</v>
      </c>
      <c r="E45" s="93">
        <v>12.46</v>
      </c>
      <c r="F45" s="84">
        <f t="shared" si="3"/>
        <v>124.6</v>
      </c>
    </row>
    <row r="46" spans="1:6" ht="13.8" x14ac:dyDescent="0.25">
      <c r="A46" s="81" t="s">
        <v>145</v>
      </c>
      <c r="B46" s="82" t="s">
        <v>80</v>
      </c>
      <c r="C46" s="83" t="s">
        <v>20</v>
      </c>
      <c r="D46" s="98">
        <v>1</v>
      </c>
      <c r="E46" s="93">
        <v>84.48</v>
      </c>
      <c r="F46" s="84">
        <f t="shared" si="3"/>
        <v>84.48</v>
      </c>
    </row>
    <row r="47" spans="1:6" ht="13.8" x14ac:dyDescent="0.25">
      <c r="A47" s="81" t="s">
        <v>146</v>
      </c>
      <c r="B47" s="82" t="s">
        <v>94</v>
      </c>
      <c r="C47" s="83" t="s">
        <v>20</v>
      </c>
      <c r="D47" s="98">
        <v>1</v>
      </c>
      <c r="E47" s="93">
        <v>62.4</v>
      </c>
      <c r="F47" s="84">
        <f t="shared" ref="F47:F60" si="4">ROUND(D47*E47,2)</f>
        <v>62.4</v>
      </c>
    </row>
    <row r="48" spans="1:6" ht="13.8" x14ac:dyDescent="0.25">
      <c r="A48" s="81" t="s">
        <v>147</v>
      </c>
      <c r="B48" s="82" t="s">
        <v>95</v>
      </c>
      <c r="C48" s="83" t="s">
        <v>20</v>
      </c>
      <c r="D48" s="98">
        <v>16</v>
      </c>
      <c r="E48" s="93">
        <v>0.81</v>
      </c>
      <c r="F48" s="84">
        <f t="shared" si="4"/>
        <v>12.96</v>
      </c>
    </row>
    <row r="49" spans="1:6" ht="13.8" x14ac:dyDescent="0.25">
      <c r="A49" s="81" t="s">
        <v>148</v>
      </c>
      <c r="B49" s="82" t="s">
        <v>81</v>
      </c>
      <c r="C49" s="83" t="s">
        <v>20</v>
      </c>
      <c r="D49" s="98">
        <v>16</v>
      </c>
      <c r="E49" s="93">
        <v>0.66</v>
      </c>
      <c r="F49" s="84">
        <f t="shared" si="4"/>
        <v>10.56</v>
      </c>
    </row>
    <row r="50" spans="1:6" ht="13.8" x14ac:dyDescent="0.25">
      <c r="A50" s="81" t="s">
        <v>149</v>
      </c>
      <c r="B50" s="82" t="s">
        <v>82</v>
      </c>
      <c r="C50" s="83" t="s">
        <v>20</v>
      </c>
      <c r="D50" s="98">
        <v>16</v>
      </c>
      <c r="E50" s="93">
        <v>0.64</v>
      </c>
      <c r="F50" s="84">
        <f t="shared" si="4"/>
        <v>10.24</v>
      </c>
    </row>
    <row r="51" spans="1:6" ht="27.6" x14ac:dyDescent="0.25">
      <c r="A51" s="81" t="s">
        <v>150</v>
      </c>
      <c r="B51" s="82" t="s">
        <v>126</v>
      </c>
      <c r="C51" s="83" t="s">
        <v>20</v>
      </c>
      <c r="D51" s="98">
        <v>1</v>
      </c>
      <c r="E51" s="93">
        <v>780.01</v>
      </c>
      <c r="F51" s="84">
        <f t="shared" si="4"/>
        <v>780.01</v>
      </c>
    </row>
    <row r="52" spans="1:6" ht="27.6" x14ac:dyDescent="0.25">
      <c r="A52" s="81" t="s">
        <v>151</v>
      </c>
      <c r="B52" s="82" t="s">
        <v>122</v>
      </c>
      <c r="C52" s="83" t="s">
        <v>20</v>
      </c>
      <c r="D52" s="98">
        <v>1</v>
      </c>
      <c r="E52" s="93">
        <v>1951.51</v>
      </c>
      <c r="F52" s="84">
        <f t="shared" si="4"/>
        <v>1951.51</v>
      </c>
    </row>
    <row r="53" spans="1:6" ht="27.6" x14ac:dyDescent="0.25">
      <c r="A53" s="81" t="s">
        <v>152</v>
      </c>
      <c r="B53" s="82" t="s">
        <v>83</v>
      </c>
      <c r="C53" s="83" t="s">
        <v>16</v>
      </c>
      <c r="D53" s="98">
        <v>4321</v>
      </c>
      <c r="E53" s="93">
        <v>3.34</v>
      </c>
      <c r="F53" s="84">
        <f t="shared" si="4"/>
        <v>14432.14</v>
      </c>
    </row>
    <row r="54" spans="1:6" ht="27.6" x14ac:dyDescent="0.25">
      <c r="A54" s="81" t="s">
        <v>153</v>
      </c>
      <c r="B54" s="82" t="s">
        <v>123</v>
      </c>
      <c r="C54" s="83" t="s">
        <v>20</v>
      </c>
      <c r="D54" s="98">
        <v>2</v>
      </c>
      <c r="E54" s="93">
        <v>116.97</v>
      </c>
      <c r="F54" s="84">
        <f>ROUND(D54*E54,2)</f>
        <v>233.94</v>
      </c>
    </row>
    <row r="55" spans="1:6" ht="13.8" x14ac:dyDescent="0.25">
      <c r="A55" s="81" t="s">
        <v>154</v>
      </c>
      <c r="B55" s="82" t="s">
        <v>84</v>
      </c>
      <c r="C55" s="83" t="s">
        <v>20</v>
      </c>
      <c r="D55" s="98">
        <v>14</v>
      </c>
      <c r="E55" s="93">
        <v>109.89</v>
      </c>
      <c r="F55" s="84">
        <f t="shared" si="4"/>
        <v>1538.46</v>
      </c>
    </row>
    <row r="56" spans="1:6" ht="13.8" x14ac:dyDescent="0.25">
      <c r="A56" s="81" t="s">
        <v>155</v>
      </c>
      <c r="B56" s="82" t="s">
        <v>112</v>
      </c>
      <c r="C56" s="83" t="s">
        <v>20</v>
      </c>
      <c r="D56" s="98">
        <v>2</v>
      </c>
      <c r="E56" s="93">
        <v>478.79</v>
      </c>
      <c r="F56" s="84">
        <f>ROUND(D56*E56,2)</f>
        <v>957.58</v>
      </c>
    </row>
    <row r="57" spans="1:6" ht="13.8" x14ac:dyDescent="0.25">
      <c r="A57" s="81" t="s">
        <v>156</v>
      </c>
      <c r="B57" s="82" t="s">
        <v>85</v>
      </c>
      <c r="C57" s="83" t="s">
        <v>20</v>
      </c>
      <c r="D57" s="98">
        <v>7</v>
      </c>
      <c r="E57" s="93">
        <v>54.41</v>
      </c>
      <c r="F57" s="84">
        <f t="shared" si="4"/>
        <v>380.87</v>
      </c>
    </row>
    <row r="58" spans="1:6" ht="27.6" x14ac:dyDescent="0.25">
      <c r="A58" s="81" t="s">
        <v>157</v>
      </c>
      <c r="B58" s="82" t="s">
        <v>86</v>
      </c>
      <c r="C58" s="83" t="s">
        <v>20</v>
      </c>
      <c r="D58" s="98">
        <v>90</v>
      </c>
      <c r="E58" s="93">
        <v>39.630000000000003</v>
      </c>
      <c r="F58" s="84">
        <f t="shared" si="4"/>
        <v>3566.7</v>
      </c>
    </row>
    <row r="59" spans="1:6" ht="27.6" x14ac:dyDescent="0.25">
      <c r="A59" s="81" t="s">
        <v>158</v>
      </c>
      <c r="B59" s="82" t="s">
        <v>100</v>
      </c>
      <c r="C59" s="83" t="s">
        <v>20</v>
      </c>
      <c r="D59" s="98">
        <v>6</v>
      </c>
      <c r="E59" s="93">
        <v>875.59</v>
      </c>
      <c r="F59" s="84">
        <f>ROUND(D59*E59,2)</f>
        <v>5253.54</v>
      </c>
    </row>
    <row r="60" spans="1:6" ht="13.8" x14ac:dyDescent="0.25">
      <c r="A60" s="81" t="s">
        <v>159</v>
      </c>
      <c r="B60" s="82" t="s">
        <v>87</v>
      </c>
      <c r="C60" s="83" t="s">
        <v>20</v>
      </c>
      <c r="D60" s="98">
        <v>14</v>
      </c>
      <c r="E60" s="93">
        <v>8.48</v>
      </c>
      <c r="F60" s="84">
        <f t="shared" si="4"/>
        <v>118.72</v>
      </c>
    </row>
    <row r="61" spans="1:6" ht="13.8" x14ac:dyDescent="0.25">
      <c r="A61" s="81" t="s">
        <v>160</v>
      </c>
      <c r="B61" s="82" t="s">
        <v>124</v>
      </c>
      <c r="C61" s="83" t="s">
        <v>20</v>
      </c>
      <c r="D61" s="98">
        <v>2</v>
      </c>
      <c r="E61" s="93">
        <v>15.23</v>
      </c>
      <c r="F61" s="84">
        <f t="shared" ref="F61" si="5">ROUND(D61*E61,2)</f>
        <v>30.46</v>
      </c>
    </row>
    <row r="62" spans="1:6" ht="13.8" x14ac:dyDescent="0.25">
      <c r="A62" s="81" t="s">
        <v>161</v>
      </c>
      <c r="B62" s="82" t="s">
        <v>15</v>
      </c>
      <c r="C62" s="83" t="s">
        <v>16</v>
      </c>
      <c r="D62" s="98">
        <v>10</v>
      </c>
      <c r="E62" s="93">
        <v>26.42</v>
      </c>
      <c r="F62" s="84">
        <f t="shared" ref="F62" si="6">ROUND(D62*E62,2)</f>
        <v>264.2</v>
      </c>
    </row>
    <row r="63" spans="1:6" ht="13.8" x14ac:dyDescent="0.25">
      <c r="A63" s="81"/>
      <c r="B63" s="82"/>
      <c r="C63" s="83"/>
      <c r="D63" s="98"/>
      <c r="E63" s="93"/>
      <c r="F63" s="84"/>
    </row>
    <row r="64" spans="1:6" ht="13.8" x14ac:dyDescent="0.25">
      <c r="A64" s="89" t="s">
        <v>17</v>
      </c>
      <c r="B64" s="90" t="s">
        <v>111</v>
      </c>
      <c r="C64" s="90"/>
      <c r="D64" s="91"/>
      <c r="E64" s="91"/>
      <c r="F64" s="91">
        <f>SUBTOTAL(9,F65:F67)</f>
        <v>24067.89</v>
      </c>
    </row>
    <row r="65" spans="1:6" ht="13.8" x14ac:dyDescent="0.25">
      <c r="A65" s="81" t="s">
        <v>162</v>
      </c>
      <c r="B65" s="82" t="s">
        <v>99</v>
      </c>
      <c r="C65" s="83" t="s">
        <v>20</v>
      </c>
      <c r="D65" s="98">
        <v>1</v>
      </c>
      <c r="E65" s="93">
        <v>8146.81</v>
      </c>
      <c r="F65" s="84">
        <f t="shared" ref="F65" si="7">ROUND(D65*E65,2)</f>
        <v>8146.81</v>
      </c>
    </row>
    <row r="66" spans="1:6" ht="13.8" x14ac:dyDescent="0.25">
      <c r="A66" s="81" t="s">
        <v>163</v>
      </c>
      <c r="B66" s="82" t="s">
        <v>68</v>
      </c>
      <c r="C66" s="83" t="s">
        <v>18</v>
      </c>
      <c r="D66" s="84">
        <v>44</v>
      </c>
      <c r="E66" s="93">
        <v>111.14</v>
      </c>
      <c r="F66" s="84">
        <f>ROUND(D66*E66,2)</f>
        <v>4890.16</v>
      </c>
    </row>
    <row r="67" spans="1:6" ht="13.8" x14ac:dyDescent="0.25">
      <c r="A67" s="81" t="s">
        <v>164</v>
      </c>
      <c r="B67" s="82" t="s">
        <v>113</v>
      </c>
      <c r="C67" s="83" t="s">
        <v>101</v>
      </c>
      <c r="D67" s="84">
        <v>2</v>
      </c>
      <c r="E67" s="93">
        <v>5515.46</v>
      </c>
      <c r="F67" s="84">
        <f>ROUND(D67*E67,2)</f>
        <v>11030.92</v>
      </c>
    </row>
    <row r="68" spans="1:6" ht="13.8" x14ac:dyDescent="0.25">
      <c r="A68" s="99"/>
      <c r="B68" s="100"/>
      <c r="C68" s="101"/>
      <c r="D68" s="102"/>
      <c r="E68" s="103"/>
      <c r="F68" s="84"/>
    </row>
    <row r="69" spans="1:6" ht="15" customHeight="1" x14ac:dyDescent="0.25">
      <c r="A69" s="85" t="s">
        <v>24</v>
      </c>
      <c r="B69" s="86"/>
      <c r="C69" s="86"/>
      <c r="D69" s="87"/>
      <c r="E69" s="88"/>
      <c r="F69" s="104">
        <f>SUBTOTAL(9,F13:F67)</f>
        <v>188090.78</v>
      </c>
    </row>
    <row r="70" spans="1:6" x14ac:dyDescent="0.25">
      <c r="F70" s="97"/>
    </row>
    <row r="74" spans="1:6" ht="12" customHeight="1" x14ac:dyDescent="0.25"/>
  </sheetData>
  <mergeCells count="12">
    <mergeCell ref="A10:F10"/>
    <mergeCell ref="A11:F11"/>
    <mergeCell ref="A5:F5"/>
    <mergeCell ref="A6:F6"/>
    <mergeCell ref="A8:F8"/>
    <mergeCell ref="A7:F7"/>
    <mergeCell ref="A9:F9"/>
    <mergeCell ref="D1:F2"/>
    <mergeCell ref="D3:D4"/>
    <mergeCell ref="E3:E4"/>
    <mergeCell ref="F3:F4"/>
    <mergeCell ref="A1:C4"/>
  </mergeCells>
  <phoneticPr fontId="7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1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44"/>
  <sheetViews>
    <sheetView topLeftCell="A31" workbookViewId="0">
      <selection activeCell="F21" sqref="F21"/>
    </sheetView>
  </sheetViews>
  <sheetFormatPr defaultRowHeight="13.2" x14ac:dyDescent="0.25"/>
  <cols>
    <col min="1" max="1" width="5.88671875" customWidth="1"/>
    <col min="2" max="2" width="82.88671875" bestFit="1" customWidth="1"/>
    <col min="3" max="3" width="20.6640625" bestFit="1" customWidth="1"/>
    <col min="6" max="6" width="13.33203125" bestFit="1" customWidth="1"/>
    <col min="7" max="7" width="23.109375" customWidth="1"/>
  </cols>
  <sheetData>
    <row r="1" spans="1:12" x14ac:dyDescent="0.25">
      <c r="H1" s="94"/>
    </row>
    <row r="2" spans="1:12" s="1" customFormat="1" x14ac:dyDescent="0.25">
      <c r="A2" s="148" t="s">
        <v>25</v>
      </c>
      <c r="B2" s="149"/>
      <c r="C2" s="150"/>
      <c r="D2"/>
      <c r="E2"/>
      <c r="F2"/>
      <c r="H2" s="92"/>
      <c r="I2" s="44"/>
      <c r="L2"/>
    </row>
    <row r="3" spans="1:12" s="1" customFormat="1" x14ac:dyDescent="0.25">
      <c r="A3" s="151"/>
      <c r="B3" s="152"/>
      <c r="C3" s="153"/>
      <c r="D3"/>
      <c r="E3"/>
      <c r="F3"/>
      <c r="H3" s="92"/>
      <c r="I3" s="44"/>
    </row>
    <row r="4" spans="1:12" s="1" customFormat="1" ht="12.75" customHeight="1" x14ac:dyDescent="0.25">
      <c r="A4" s="151"/>
      <c r="B4" s="152"/>
      <c r="C4" s="153"/>
      <c r="D4"/>
      <c r="E4"/>
      <c r="F4"/>
      <c r="H4" s="92"/>
      <c r="I4" s="44"/>
    </row>
    <row r="5" spans="1:12" s="1" customFormat="1" x14ac:dyDescent="0.25">
      <c r="A5" s="154"/>
      <c r="B5" s="155"/>
      <c r="C5" s="156"/>
      <c r="D5"/>
      <c r="E5"/>
      <c r="F5"/>
      <c r="H5" s="92"/>
      <c r="I5" s="44"/>
    </row>
    <row r="6" spans="1:12" ht="18.600000000000001" x14ac:dyDescent="0.25">
      <c r="A6" s="159" t="s">
        <v>9</v>
      </c>
      <c r="B6" s="159"/>
      <c r="C6" s="7" t="s">
        <v>26</v>
      </c>
      <c r="H6" s="94"/>
    </row>
    <row r="7" spans="1:12" ht="15.6" x14ac:dyDescent="0.3">
      <c r="A7" s="160" t="s">
        <v>27</v>
      </c>
      <c r="B7" s="160"/>
      <c r="C7" s="8"/>
      <c r="H7" s="94"/>
    </row>
    <row r="8" spans="1:12" ht="46.8" x14ac:dyDescent="0.25">
      <c r="A8" s="9" t="s">
        <v>28</v>
      </c>
      <c r="B8" s="10" t="s">
        <v>29</v>
      </c>
      <c r="C8" s="47">
        <f>ROUND(AVERAGE(3%,5.5%),4)</f>
        <v>4.2500000000000003E-2</v>
      </c>
      <c r="F8" s="33"/>
      <c r="G8" s="33"/>
      <c r="H8" s="95"/>
    </row>
    <row r="9" spans="1:12" ht="15.6" x14ac:dyDescent="0.25">
      <c r="A9" s="9"/>
      <c r="B9" s="13" t="s">
        <v>30</v>
      </c>
      <c r="C9" s="11">
        <f>SUM(C8)</f>
        <v>4.2500000000000003E-2</v>
      </c>
      <c r="H9" s="94"/>
    </row>
    <row r="10" spans="1:12" ht="15.6" x14ac:dyDescent="0.25">
      <c r="A10" s="14"/>
      <c r="B10" s="15"/>
      <c r="C10" s="16"/>
      <c r="H10" s="94"/>
    </row>
    <row r="11" spans="1:12" ht="15.6" x14ac:dyDescent="0.25">
      <c r="A11" s="161" t="s">
        <v>31</v>
      </c>
      <c r="B11" s="161"/>
      <c r="C11" s="17"/>
      <c r="H11" s="94"/>
    </row>
    <row r="12" spans="1:12" ht="15.6" x14ac:dyDescent="0.25">
      <c r="A12" s="18" t="s">
        <v>32</v>
      </c>
      <c r="B12" s="19" t="s">
        <v>33</v>
      </c>
      <c r="C12" s="48">
        <f>ROUND(AVERAGE(0.59%,1.39%),4)</f>
        <v>9.9000000000000008E-3</v>
      </c>
      <c r="D12" t="s">
        <v>34</v>
      </c>
      <c r="H12" s="94"/>
    </row>
    <row r="13" spans="1:12" s="20" customFormat="1" ht="15.6" x14ac:dyDescent="0.25">
      <c r="A13" s="18" t="s">
        <v>35</v>
      </c>
      <c r="B13" s="19" t="s">
        <v>36</v>
      </c>
      <c r="C13" s="48">
        <f>ROUND(AVERAGE(0.4%,0.5%),4)</f>
        <v>4.4999999999999997E-3</v>
      </c>
      <c r="H13" s="96"/>
    </row>
    <row r="14" spans="1:12" s="20" customFormat="1" ht="15.6" x14ac:dyDescent="0.25">
      <c r="A14" s="18" t="s">
        <v>35</v>
      </c>
      <c r="B14" s="19" t="s">
        <v>37</v>
      </c>
      <c r="C14" s="48">
        <f>ROUND(AVERAGE(0.4%,0.5%),4)</f>
        <v>4.4999999999999997E-3</v>
      </c>
    </row>
    <row r="15" spans="1:12" ht="15.6" x14ac:dyDescent="0.25">
      <c r="A15" s="18" t="s">
        <v>38</v>
      </c>
      <c r="B15" s="21" t="s">
        <v>39</v>
      </c>
      <c r="C15" s="48">
        <f>ROUND(AVERAGE(0.97%,1.27%),4)</f>
        <v>1.12E-2</v>
      </c>
    </row>
    <row r="16" spans="1:12" ht="15.6" x14ac:dyDescent="0.25">
      <c r="A16" s="18" t="s">
        <v>40</v>
      </c>
      <c r="B16" s="19" t="s">
        <v>41</v>
      </c>
      <c r="C16" s="48">
        <f>ROUND(AVERAGE(6.16%,8.96%),4)</f>
        <v>7.5600000000000001E-2</v>
      </c>
    </row>
    <row r="17" spans="1:9" ht="15.6" x14ac:dyDescent="0.25">
      <c r="A17" s="18"/>
      <c r="B17" s="22" t="s">
        <v>42</v>
      </c>
      <c r="C17" s="17">
        <f>SUM(C12:C16)</f>
        <v>0.1057</v>
      </c>
    </row>
    <row r="18" spans="1:9" ht="15.6" x14ac:dyDescent="0.25">
      <c r="A18" s="14"/>
      <c r="B18" s="23"/>
      <c r="C18" s="16"/>
      <c r="H18" s="33"/>
    </row>
    <row r="19" spans="1:9" ht="15.6" x14ac:dyDescent="0.25">
      <c r="A19" s="162" t="s">
        <v>43</v>
      </c>
      <c r="B19" s="162"/>
      <c r="C19" s="24"/>
      <c r="H19" s="25"/>
    </row>
    <row r="20" spans="1:9" ht="15.6" x14ac:dyDescent="0.25">
      <c r="A20" s="26" t="s">
        <v>44</v>
      </c>
      <c r="B20" s="27" t="s">
        <v>45</v>
      </c>
      <c r="C20" s="28"/>
      <c r="E20" s="29"/>
      <c r="H20" s="25"/>
    </row>
    <row r="21" spans="1:9" ht="15.6" x14ac:dyDescent="0.25">
      <c r="A21" s="26" t="s">
        <v>46</v>
      </c>
      <c r="B21" s="30" t="s">
        <v>47</v>
      </c>
      <c r="C21" s="31">
        <v>0.4</v>
      </c>
      <c r="H21" s="25"/>
    </row>
    <row r="22" spans="1:9" ht="15.6" x14ac:dyDescent="0.25">
      <c r="A22" s="26" t="s">
        <v>48</v>
      </c>
      <c r="B22" s="32" t="s">
        <v>49</v>
      </c>
      <c r="C22" s="31">
        <v>0.05</v>
      </c>
      <c r="H22" s="25"/>
      <c r="I22" s="33"/>
    </row>
    <row r="23" spans="1:9" ht="15.6" x14ac:dyDescent="0.25">
      <c r="A23" s="34" t="s">
        <v>50</v>
      </c>
      <c r="B23" s="35" t="s">
        <v>51</v>
      </c>
      <c r="C23" s="24">
        <f>C22*C21</f>
        <v>2.0000000000000004E-2</v>
      </c>
    </row>
    <row r="24" spans="1:9" ht="15.6" x14ac:dyDescent="0.25">
      <c r="A24" s="34" t="s">
        <v>52</v>
      </c>
      <c r="B24" s="36" t="s">
        <v>53</v>
      </c>
      <c r="C24" s="24">
        <v>6.4999999999999997E-3</v>
      </c>
    </row>
    <row r="25" spans="1:9" ht="15.6" x14ac:dyDescent="0.25">
      <c r="A25" s="34" t="s">
        <v>54</v>
      </c>
      <c r="B25" s="36" t="s">
        <v>55</v>
      </c>
      <c r="C25" s="24">
        <v>0.03</v>
      </c>
    </row>
    <row r="26" spans="1:9" ht="15.6" x14ac:dyDescent="0.25">
      <c r="A26" s="34"/>
      <c r="B26" s="37" t="s">
        <v>56</v>
      </c>
      <c r="C26" s="24">
        <f>SUM(C23:C25)</f>
        <v>5.6500000000000002E-2</v>
      </c>
    </row>
    <row r="27" spans="1:9" ht="15.6" x14ac:dyDescent="0.3">
      <c r="A27" s="38"/>
      <c r="B27" s="38"/>
      <c r="C27" s="39"/>
    </row>
    <row r="28" spans="1:9" ht="18.600000000000001" x14ac:dyDescent="0.25">
      <c r="A28" s="157" t="s">
        <v>57</v>
      </c>
      <c r="B28" s="157"/>
      <c r="C28" s="40">
        <f>ROUND((1+C8+C13+C15+C14)*(1+C12)*(1+C16)/(1-C26)-1,4)</f>
        <v>0.2235</v>
      </c>
      <c r="D28" s="29"/>
      <c r="E28" s="29"/>
    </row>
    <row r="29" spans="1:9" ht="16.5" customHeight="1" x14ac:dyDescent="0.25">
      <c r="A29" s="158" t="s">
        <v>58</v>
      </c>
      <c r="B29" s="158"/>
      <c r="C29" s="158"/>
    </row>
    <row r="30" spans="1:9" ht="16.5" customHeight="1" x14ac:dyDescent="0.25">
      <c r="A30" s="158"/>
      <c r="B30" s="158"/>
      <c r="C30" s="158"/>
    </row>
    <row r="31" spans="1:9" ht="16.5" customHeight="1" x14ac:dyDescent="0.25">
      <c r="A31" s="158"/>
      <c r="B31" s="158"/>
      <c r="C31" s="158"/>
    </row>
    <row r="32" spans="1:9" ht="16.5" customHeight="1" x14ac:dyDescent="0.25">
      <c r="A32" s="158"/>
      <c r="B32" s="158"/>
      <c r="C32" s="158"/>
    </row>
    <row r="33" spans="1:3" ht="16.5" customHeight="1" x14ac:dyDescent="0.25">
      <c r="A33" s="158"/>
      <c r="B33" s="158"/>
      <c r="C33" s="158"/>
    </row>
    <row r="34" spans="1:3" ht="16.5" customHeight="1" x14ac:dyDescent="0.25">
      <c r="A34" s="158"/>
      <c r="B34" s="158"/>
      <c r="C34" s="158"/>
    </row>
    <row r="35" spans="1:3" ht="16.5" customHeight="1" x14ac:dyDescent="0.25">
      <c r="A35" s="158"/>
      <c r="B35" s="158"/>
      <c r="C35" s="158"/>
    </row>
    <row r="36" spans="1:3" ht="16.5" customHeight="1" x14ac:dyDescent="0.25">
      <c r="A36" s="158"/>
      <c r="B36" s="158"/>
      <c r="C36" s="158"/>
    </row>
    <row r="37" spans="1:3" ht="16.5" customHeight="1" x14ac:dyDescent="0.25">
      <c r="A37" s="158"/>
      <c r="B37" s="158"/>
      <c r="C37" s="158"/>
    </row>
    <row r="38" spans="1:3" ht="16.5" customHeight="1" x14ac:dyDescent="0.25">
      <c r="A38" s="158"/>
      <c r="B38" s="158"/>
      <c r="C38" s="158"/>
    </row>
    <row r="39" spans="1:3" ht="16.5" customHeight="1" x14ac:dyDescent="0.25">
      <c r="A39" s="158"/>
      <c r="B39" s="158"/>
      <c r="C39" s="158"/>
    </row>
    <row r="40" spans="1:3" ht="16.5" customHeight="1" x14ac:dyDescent="0.25">
      <c r="A40" s="158"/>
      <c r="B40" s="158"/>
      <c r="C40" s="158"/>
    </row>
    <row r="41" spans="1:3" ht="16.5" customHeight="1" x14ac:dyDescent="0.25">
      <c r="A41" s="158"/>
      <c r="B41" s="158"/>
      <c r="C41" s="158"/>
    </row>
    <row r="42" spans="1:3" ht="16.5" customHeight="1" x14ac:dyDescent="0.25">
      <c r="A42" s="158"/>
      <c r="B42" s="158"/>
      <c r="C42" s="158"/>
    </row>
    <row r="43" spans="1:3" ht="16.5" customHeight="1" x14ac:dyDescent="0.25">
      <c r="A43" s="158"/>
      <c r="B43" s="158"/>
      <c r="C43" s="158"/>
    </row>
    <row r="44" spans="1:3" x14ac:dyDescent="0.25">
      <c r="B44" s="41"/>
    </row>
  </sheetData>
  <mergeCells count="7">
    <mergeCell ref="A2:C5"/>
    <mergeCell ref="A28:B28"/>
    <mergeCell ref="A29:C43"/>
    <mergeCell ref="A6:B6"/>
    <mergeCell ref="A7:B7"/>
    <mergeCell ref="A11:B11"/>
    <mergeCell ref="A19:B1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44"/>
  <sheetViews>
    <sheetView workbookViewId="0">
      <selection activeCell="G8" sqref="G8"/>
    </sheetView>
  </sheetViews>
  <sheetFormatPr defaultColWidth="9.109375" defaultRowHeight="13.2" x14ac:dyDescent="0.25"/>
  <cols>
    <col min="1" max="1" width="5.88671875" style="54" customWidth="1"/>
    <col min="2" max="2" width="82.88671875" style="54" bestFit="1" customWidth="1"/>
    <col min="3" max="3" width="20.6640625" style="54" bestFit="1" customWidth="1"/>
    <col min="4" max="5" width="9.109375" style="54"/>
    <col min="6" max="6" width="13.33203125" style="54" bestFit="1" customWidth="1"/>
    <col min="7" max="7" width="23.109375" style="54" customWidth="1"/>
    <col min="8" max="16384" width="9.109375" style="54"/>
  </cols>
  <sheetData>
    <row r="2" spans="1:12" s="55" customFormat="1" ht="12.75" customHeight="1" x14ac:dyDescent="0.25">
      <c r="A2" s="164" t="s">
        <v>59</v>
      </c>
      <c r="B2" s="165"/>
      <c r="C2" s="166"/>
      <c r="D2" s="54"/>
      <c r="E2" s="54"/>
      <c r="F2" s="54"/>
      <c r="H2" s="56"/>
      <c r="I2" s="57"/>
      <c r="L2" s="54"/>
    </row>
    <row r="3" spans="1:12" s="55" customFormat="1" ht="12.75" customHeight="1" x14ac:dyDescent="0.25">
      <c r="A3" s="167"/>
      <c r="B3" s="168"/>
      <c r="C3" s="169"/>
      <c r="D3" s="54"/>
      <c r="E3" s="54"/>
      <c r="F3" s="54"/>
      <c r="H3" s="56"/>
      <c r="I3" s="57"/>
    </row>
    <row r="4" spans="1:12" s="55" customFormat="1" ht="12.75" customHeight="1" x14ac:dyDescent="0.25">
      <c r="A4" s="167"/>
      <c r="B4" s="168"/>
      <c r="C4" s="169"/>
      <c r="D4" s="54"/>
      <c r="E4" s="54"/>
      <c r="F4" s="54"/>
      <c r="H4" s="56"/>
      <c r="I4" s="57"/>
    </row>
    <row r="5" spans="1:12" s="55" customFormat="1" ht="12.75" customHeight="1" x14ac:dyDescent="0.25">
      <c r="A5" s="170"/>
      <c r="B5" s="171"/>
      <c r="C5" s="172"/>
      <c r="D5" s="54"/>
      <c r="E5" s="54"/>
      <c r="F5" s="54"/>
      <c r="H5" s="56"/>
      <c r="I5" s="57"/>
    </row>
    <row r="6" spans="1:12" ht="18.600000000000001" x14ac:dyDescent="0.25">
      <c r="A6" s="173" t="s">
        <v>9</v>
      </c>
      <c r="B6" s="173"/>
      <c r="C6" s="58" t="s">
        <v>26</v>
      </c>
    </row>
    <row r="7" spans="1:12" ht="15.6" x14ac:dyDescent="0.3">
      <c r="A7" s="174" t="s">
        <v>27</v>
      </c>
      <c r="B7" s="174"/>
      <c r="C7" s="8"/>
    </row>
    <row r="8" spans="1:12" ht="46.8" x14ac:dyDescent="0.25">
      <c r="A8" s="59" t="s">
        <v>28</v>
      </c>
      <c r="B8" s="60" t="s">
        <v>60</v>
      </c>
      <c r="C8" s="47">
        <f>ROUND(AVERAGE(1.5%,4.49%),4)</f>
        <v>0.03</v>
      </c>
      <c r="F8" s="33"/>
      <c r="G8" s="33"/>
      <c r="H8" s="12"/>
    </row>
    <row r="9" spans="1:12" ht="15.6" x14ac:dyDescent="0.25">
      <c r="A9" s="59"/>
      <c r="B9" s="61" t="s">
        <v>30</v>
      </c>
      <c r="C9" s="11">
        <f>SUM(C8)</f>
        <v>0.03</v>
      </c>
    </row>
    <row r="10" spans="1:12" ht="15.6" x14ac:dyDescent="0.25">
      <c r="A10" s="62"/>
      <c r="B10" s="63"/>
      <c r="C10" s="16"/>
    </row>
    <row r="11" spans="1:12" ht="15.6" x14ac:dyDescent="0.25">
      <c r="A11" s="175" t="s">
        <v>31</v>
      </c>
      <c r="B11" s="175"/>
      <c r="C11" s="17"/>
    </row>
    <row r="12" spans="1:12" ht="15.6" x14ac:dyDescent="0.25">
      <c r="A12" s="64" t="s">
        <v>32</v>
      </c>
      <c r="B12" s="65" t="s">
        <v>61</v>
      </c>
      <c r="C12" s="48">
        <f>ROUND(AVERAGE(0.85%,1.11%),4)</f>
        <v>9.7999999999999997E-3</v>
      </c>
    </row>
    <row r="13" spans="1:12" s="66" customFormat="1" ht="15.6" x14ac:dyDescent="0.25">
      <c r="A13" s="64" t="s">
        <v>35</v>
      </c>
      <c r="B13" s="65" t="s">
        <v>62</v>
      </c>
      <c r="C13" s="48">
        <f>ROUND(AVERAGE(0.3%/2,0.82%/2),4)</f>
        <v>2.8E-3</v>
      </c>
    </row>
    <row r="14" spans="1:12" s="66" customFormat="1" ht="15.6" x14ac:dyDescent="0.25">
      <c r="A14" s="64" t="s">
        <v>35</v>
      </c>
      <c r="B14" s="65" t="s">
        <v>63</v>
      </c>
      <c r="C14" s="48">
        <f>ROUND(AVERAGE(0.3%/2,0.82%/2),4)</f>
        <v>2.8E-3</v>
      </c>
    </row>
    <row r="15" spans="1:12" ht="15.6" x14ac:dyDescent="0.25">
      <c r="A15" s="64" t="s">
        <v>38</v>
      </c>
      <c r="B15" s="67" t="s">
        <v>64</v>
      </c>
      <c r="C15" s="48">
        <f>ROUND(AVERAGE(0.56%,0.89%),4)</f>
        <v>7.3000000000000001E-3</v>
      </c>
    </row>
    <row r="16" spans="1:12" ht="15.6" x14ac:dyDescent="0.25">
      <c r="A16" s="64" t="s">
        <v>40</v>
      </c>
      <c r="B16" s="65" t="s">
        <v>65</v>
      </c>
      <c r="C16" s="48">
        <f>ROUND(AVERAGE(3.5%,6.22%),4)</f>
        <v>4.8599999999999997E-2</v>
      </c>
    </row>
    <row r="17" spans="1:9" ht="15.6" x14ac:dyDescent="0.25">
      <c r="A17" s="64"/>
      <c r="B17" s="68" t="s">
        <v>42</v>
      </c>
      <c r="C17" s="17">
        <f>SUM(C12:C16)</f>
        <v>7.1300000000000002E-2</v>
      </c>
    </row>
    <row r="18" spans="1:9" ht="15.6" x14ac:dyDescent="0.25">
      <c r="A18" s="62"/>
      <c r="B18" s="69"/>
      <c r="C18" s="16"/>
      <c r="H18" s="33"/>
    </row>
    <row r="19" spans="1:9" ht="15.6" x14ac:dyDescent="0.25">
      <c r="A19" s="176" t="s">
        <v>43</v>
      </c>
      <c r="B19" s="176"/>
      <c r="C19" s="24"/>
      <c r="H19" s="70"/>
    </row>
    <row r="20" spans="1:9" ht="15.6" x14ac:dyDescent="0.25">
      <c r="A20" s="71" t="s">
        <v>44</v>
      </c>
      <c r="B20" s="72" t="s">
        <v>45</v>
      </c>
      <c r="C20" s="28"/>
      <c r="E20" s="29"/>
      <c r="H20" s="70"/>
    </row>
    <row r="21" spans="1:9" ht="15.6" x14ac:dyDescent="0.25">
      <c r="A21" s="71" t="s">
        <v>46</v>
      </c>
      <c r="B21" s="73" t="s">
        <v>47</v>
      </c>
      <c r="C21" s="31">
        <v>0</v>
      </c>
      <c r="H21" s="70"/>
    </row>
    <row r="22" spans="1:9" ht="15.6" x14ac:dyDescent="0.25">
      <c r="A22" s="71" t="s">
        <v>48</v>
      </c>
      <c r="B22" s="74" t="s">
        <v>49</v>
      </c>
      <c r="C22" s="31">
        <v>0.05</v>
      </c>
      <c r="H22" s="70"/>
      <c r="I22" s="33"/>
    </row>
    <row r="23" spans="1:9" ht="15.6" x14ac:dyDescent="0.25">
      <c r="A23" s="75" t="s">
        <v>50</v>
      </c>
      <c r="B23" s="76" t="s">
        <v>51</v>
      </c>
      <c r="C23" s="24">
        <f>C22*C21</f>
        <v>0</v>
      </c>
    </row>
    <row r="24" spans="1:9" ht="15.6" x14ac:dyDescent="0.25">
      <c r="A24" s="75" t="s">
        <v>52</v>
      </c>
      <c r="B24" s="77" t="s">
        <v>53</v>
      </c>
      <c r="C24" s="24">
        <v>6.4999999999999997E-3</v>
      </c>
    </row>
    <row r="25" spans="1:9" ht="15.6" x14ac:dyDescent="0.25">
      <c r="A25" s="75" t="s">
        <v>54</v>
      </c>
      <c r="B25" s="77" t="s">
        <v>55</v>
      </c>
      <c r="C25" s="24">
        <v>0.03</v>
      </c>
    </row>
    <row r="26" spans="1:9" ht="15.6" x14ac:dyDescent="0.25">
      <c r="A26" s="75"/>
      <c r="B26" s="78" t="s">
        <v>56</v>
      </c>
      <c r="C26" s="24">
        <f>SUM(C23:C25)</f>
        <v>3.6499999999999998E-2</v>
      </c>
    </row>
    <row r="27" spans="1:9" ht="15.6" x14ac:dyDescent="0.3">
      <c r="A27" s="79"/>
      <c r="B27" s="79"/>
      <c r="C27" s="39"/>
    </row>
    <row r="28" spans="1:9" ht="18.600000000000001" x14ac:dyDescent="0.25">
      <c r="A28" s="177" t="s">
        <v>66</v>
      </c>
      <c r="B28" s="177"/>
      <c r="C28" s="40">
        <f>ROUND((1+C8+C13+C15+C14)*(1+C12)*(1+C16)/(1-C26)-1,4)</f>
        <v>0.14610000000000001</v>
      </c>
      <c r="D28" s="29"/>
      <c r="E28" s="29"/>
    </row>
    <row r="29" spans="1:9" ht="16.5" customHeight="1" x14ac:dyDescent="0.25">
      <c r="A29" s="163" t="s">
        <v>67</v>
      </c>
      <c r="B29" s="163"/>
      <c r="C29" s="163"/>
    </row>
    <row r="30" spans="1:9" ht="16.5" customHeight="1" x14ac:dyDescent="0.25">
      <c r="A30" s="163"/>
      <c r="B30" s="163"/>
      <c r="C30" s="163"/>
    </row>
    <row r="31" spans="1:9" ht="16.5" customHeight="1" x14ac:dyDescent="0.25">
      <c r="A31" s="163"/>
      <c r="B31" s="163"/>
      <c r="C31" s="163"/>
    </row>
    <row r="32" spans="1:9" ht="16.5" customHeight="1" x14ac:dyDescent="0.25">
      <c r="A32" s="163"/>
      <c r="B32" s="163"/>
      <c r="C32" s="163"/>
    </row>
    <row r="33" spans="1:3" ht="16.5" customHeight="1" x14ac:dyDescent="0.25">
      <c r="A33" s="163"/>
      <c r="B33" s="163"/>
      <c r="C33" s="163"/>
    </row>
    <row r="34" spans="1:3" ht="16.5" customHeight="1" x14ac:dyDescent="0.25">
      <c r="A34" s="163"/>
      <c r="B34" s="163"/>
      <c r="C34" s="163"/>
    </row>
    <row r="35" spans="1:3" ht="16.5" customHeight="1" x14ac:dyDescent="0.25">
      <c r="A35" s="163"/>
      <c r="B35" s="163"/>
      <c r="C35" s="163"/>
    </row>
    <row r="36" spans="1:3" ht="16.5" customHeight="1" x14ac:dyDescent="0.25">
      <c r="A36" s="163"/>
      <c r="B36" s="163"/>
      <c r="C36" s="163"/>
    </row>
    <row r="37" spans="1:3" ht="16.5" customHeight="1" x14ac:dyDescent="0.25">
      <c r="A37" s="163"/>
      <c r="B37" s="163"/>
      <c r="C37" s="163"/>
    </row>
    <row r="38" spans="1:3" ht="16.5" customHeight="1" x14ac:dyDescent="0.25">
      <c r="A38" s="163"/>
      <c r="B38" s="163"/>
      <c r="C38" s="163"/>
    </row>
    <row r="39" spans="1:3" ht="16.5" customHeight="1" x14ac:dyDescent="0.25">
      <c r="A39" s="163"/>
      <c r="B39" s="163"/>
      <c r="C39" s="163"/>
    </row>
    <row r="40" spans="1:3" ht="16.5" customHeight="1" x14ac:dyDescent="0.25">
      <c r="A40" s="163"/>
      <c r="B40" s="163"/>
      <c r="C40" s="163"/>
    </row>
    <row r="41" spans="1:3" ht="16.5" customHeight="1" x14ac:dyDescent="0.25">
      <c r="A41" s="163"/>
      <c r="B41" s="163"/>
      <c r="C41" s="163"/>
    </row>
    <row r="42" spans="1:3" ht="16.5" customHeight="1" x14ac:dyDescent="0.25">
      <c r="A42" s="163"/>
      <c r="B42" s="163"/>
      <c r="C42" s="163"/>
    </row>
    <row r="43" spans="1:3" ht="16.5" customHeight="1" x14ac:dyDescent="0.25">
      <c r="A43" s="163"/>
      <c r="B43" s="163"/>
      <c r="C43" s="163"/>
    </row>
    <row r="44" spans="1:3" x14ac:dyDescent="0.25">
      <c r="B44" s="80"/>
    </row>
  </sheetData>
  <mergeCells count="7">
    <mergeCell ref="A29:C43"/>
    <mergeCell ref="A2:C5"/>
    <mergeCell ref="A6:B6"/>
    <mergeCell ref="A7:B7"/>
    <mergeCell ref="A11:B11"/>
    <mergeCell ref="A19:B19"/>
    <mergeCell ref="A28:B2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abSelected="1" topLeftCell="A8" workbookViewId="0">
      <selection activeCell="Q7" sqref="P7:Q7"/>
    </sheetView>
  </sheetViews>
  <sheetFormatPr defaultRowHeight="13.2" x14ac:dyDescent="0.25"/>
  <cols>
    <col min="2" max="2" width="35.77734375" customWidth="1"/>
    <col min="3" max="3" width="12.5546875" customWidth="1"/>
    <col min="5" max="5" width="11.5546875" customWidth="1"/>
    <col min="7" max="7" width="11.21875" customWidth="1"/>
    <col min="9" max="9" width="11.88671875" customWidth="1"/>
    <col min="10" max="10" width="9.44140625" customWidth="1"/>
    <col min="11" max="11" width="11.5546875" customWidth="1"/>
    <col min="13" max="13" width="12.44140625" customWidth="1"/>
  </cols>
  <sheetData>
    <row r="1" spans="1:256" s="105" customFormat="1" ht="21.6" customHeight="1" x14ac:dyDescent="0.3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256" s="105" customFormat="1" ht="37.5" customHeight="1" x14ac:dyDescent="0.3">
      <c r="A2" s="183" t="s">
        <v>167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105" customFormat="1" ht="24.75" hidden="1" customHeight="1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105" customFormat="1" ht="24.75" hidden="1" customHeigh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1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105" customFormat="1" ht="18.75" customHeight="1" x14ac:dyDescent="0.3">
      <c r="A5" s="192" t="s">
        <v>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105" customFormat="1" ht="31.8" customHeight="1" x14ac:dyDescent="0.3">
      <c r="A6" s="193" t="s">
        <v>125</v>
      </c>
      <c r="B6" s="193"/>
      <c r="C6" s="193"/>
      <c r="D6" s="194" t="s">
        <v>182</v>
      </c>
      <c r="E6" s="194"/>
      <c r="F6" s="194"/>
      <c r="G6" s="194"/>
      <c r="H6" s="194"/>
      <c r="I6" s="194"/>
      <c r="J6" s="194"/>
      <c r="K6" s="194"/>
      <c r="L6" s="194"/>
      <c r="M6" s="193"/>
      <c r="N6" s="193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105" customFormat="1" ht="19.5" customHeight="1" x14ac:dyDescent="0.3">
      <c r="A7" s="193" t="s">
        <v>6</v>
      </c>
      <c r="B7" s="193"/>
      <c r="C7" s="193"/>
      <c r="D7" s="193" t="s">
        <v>168</v>
      </c>
      <c r="E7" s="193"/>
      <c r="F7" s="193"/>
      <c r="G7" s="193"/>
      <c r="H7" s="193"/>
      <c r="I7" s="193"/>
      <c r="J7" s="195" t="str">
        <f>"PRAZO: " &amp; K11</f>
        <v>PRAZO: 120 DIAS</v>
      </c>
      <c r="K7" s="195"/>
      <c r="L7" s="195"/>
      <c r="M7" s="195"/>
      <c r="N7" s="19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105" customFormat="1" ht="24.75" customHeigh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</row>
    <row r="9" spans="1:256" s="105" customFormat="1" ht="44.25" customHeight="1" x14ac:dyDescent="0.3">
      <c r="A9" s="180" t="s">
        <v>169</v>
      </c>
      <c r="B9" s="180"/>
      <c r="C9" s="181" t="s">
        <v>180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pans="1:256" s="105" customFormat="1" ht="24.75" customHeight="1" x14ac:dyDescent="0.3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256" s="105" customFormat="1" ht="24.75" customHeight="1" x14ac:dyDescent="0.3">
      <c r="A11" s="107" t="s">
        <v>8</v>
      </c>
      <c r="B11" s="107" t="s">
        <v>9</v>
      </c>
      <c r="C11" s="182" t="s">
        <v>170</v>
      </c>
      <c r="D11" s="182"/>
      <c r="E11" s="182" t="s">
        <v>171</v>
      </c>
      <c r="F11" s="182"/>
      <c r="G11" s="182" t="s">
        <v>172</v>
      </c>
      <c r="H11" s="182"/>
      <c r="I11" s="182" t="s">
        <v>173</v>
      </c>
      <c r="J11" s="182"/>
      <c r="K11" s="182" t="s">
        <v>174</v>
      </c>
      <c r="L11" s="182"/>
      <c r="M11" s="182" t="s">
        <v>175</v>
      </c>
      <c r="N11" s="182"/>
    </row>
    <row r="12" spans="1:256" s="105" customFormat="1" ht="24.75" customHeight="1" x14ac:dyDescent="0.3">
      <c r="A12" s="107"/>
      <c r="B12" s="107"/>
      <c r="C12" s="107" t="s">
        <v>176</v>
      </c>
      <c r="D12" s="107" t="s">
        <v>177</v>
      </c>
      <c r="E12" s="107" t="s">
        <v>176</v>
      </c>
      <c r="F12" s="107"/>
      <c r="G12" s="107" t="s">
        <v>176</v>
      </c>
      <c r="H12" s="107"/>
      <c r="I12" s="107" t="s">
        <v>177</v>
      </c>
      <c r="J12" s="107"/>
      <c r="K12" s="107" t="s">
        <v>176</v>
      </c>
      <c r="L12" s="107"/>
      <c r="M12" s="107" t="s">
        <v>176</v>
      </c>
      <c r="N12" s="107" t="s">
        <v>177</v>
      </c>
    </row>
    <row r="13" spans="1:256" s="105" customFormat="1" ht="24.75" customHeight="1" x14ac:dyDescent="0.3">
      <c r="A13" s="108">
        <v>1</v>
      </c>
      <c r="B13" s="111" t="str">
        <f>'PLANILHA PADRÃO'!B14</f>
        <v>CIRCUITO FECHADO DE TV (CFTV)</v>
      </c>
      <c r="C13" s="109">
        <f>SUBTOTAL(9,C14:C17)</f>
        <v>188090.78000000003</v>
      </c>
      <c r="D13" s="110">
        <f>C13/$C$19</f>
        <v>1</v>
      </c>
      <c r="E13" s="109">
        <f>SUBTOTAL(9,E14:E17)</f>
        <v>30376.18</v>
      </c>
      <c r="F13" s="110">
        <f>E13/$C13</f>
        <v>0.16149744288369688</v>
      </c>
      <c r="G13" s="109">
        <f>SUBTOTAL(9,G14:G17)</f>
        <v>38821.550500000012</v>
      </c>
      <c r="H13" s="110">
        <f>G13/$C13</f>
        <v>0.20639794518370336</v>
      </c>
      <c r="I13" s="109">
        <f>SUBTOTAL(9,I14:I17)</f>
        <v>71626.128500000021</v>
      </c>
      <c r="J13" s="110">
        <f>I13/$C13</f>
        <v>0.38080616444889009</v>
      </c>
      <c r="K13" s="109">
        <f>SUBTOTAL(9,K14:K17)</f>
        <v>47266.921000000002</v>
      </c>
      <c r="L13" s="110">
        <f>K13/$C13</f>
        <v>0.25129844748370972</v>
      </c>
      <c r="M13" s="109">
        <f>SUBTOTAL(9,M14:M17)</f>
        <v>188090.78000000003</v>
      </c>
      <c r="N13" s="110">
        <f>M13/$C13</f>
        <v>1</v>
      </c>
    </row>
    <row r="14" spans="1:256" s="105" customFormat="1" ht="24.75" customHeight="1" x14ac:dyDescent="0.3">
      <c r="A14" s="112" t="s">
        <v>102</v>
      </c>
      <c r="B14" s="113" t="str">
        <f>'PLANILHA PADRÃO'!B15</f>
        <v>FORNECIMENTO DE MATERIAIS DE CFTV</v>
      </c>
      <c r="C14" s="114">
        <f>'PLANILHA PADRÃO'!F15</f>
        <v>97436.83</v>
      </c>
      <c r="D14" s="115">
        <f>C14/$C$19</f>
        <v>0.51803086786072128</v>
      </c>
      <c r="E14" s="114">
        <f>F14*$C14</f>
        <v>24359.2075</v>
      </c>
      <c r="F14" s="115">
        <v>0.25</v>
      </c>
      <c r="G14" s="114">
        <f>H14*$C14</f>
        <v>19487.366000000002</v>
      </c>
      <c r="H14" s="115">
        <v>0.2</v>
      </c>
      <c r="I14" s="114">
        <f>J14*$C14</f>
        <v>38974.732000000004</v>
      </c>
      <c r="J14" s="115">
        <v>0.4</v>
      </c>
      <c r="K14" s="114">
        <f>L14*$C14</f>
        <v>14615.5245</v>
      </c>
      <c r="L14" s="115">
        <v>0.15</v>
      </c>
      <c r="M14" s="116">
        <f>E14+G14+I14+K14</f>
        <v>97436.83</v>
      </c>
      <c r="N14" s="115">
        <f>M14/C14</f>
        <v>1</v>
      </c>
    </row>
    <row r="15" spans="1:256" s="105" customFormat="1" ht="13.8" x14ac:dyDescent="0.3">
      <c r="A15" s="112" t="s">
        <v>14</v>
      </c>
      <c r="B15" s="113" t="str">
        <f>'PLANILHA PADRÃO'!B25</f>
        <v>INFRAESTRUTURA DE CFTV</v>
      </c>
      <c r="C15" s="114">
        <f>'PLANILHA PADRÃO'!F25</f>
        <v>66586.060000000012</v>
      </c>
      <c r="D15" s="115">
        <f>C15/$C$19</f>
        <v>0.35401022846521241</v>
      </c>
      <c r="E15" s="114">
        <f>F15*$C15</f>
        <v>0</v>
      </c>
      <c r="F15" s="115"/>
      <c r="G15" s="114">
        <f>H15*$C15</f>
        <v>13317.212000000003</v>
      </c>
      <c r="H15" s="115">
        <v>0.2</v>
      </c>
      <c r="I15" s="114">
        <f>J15*$C15</f>
        <v>26634.424000000006</v>
      </c>
      <c r="J15" s="115">
        <v>0.4</v>
      </c>
      <c r="K15" s="114">
        <f>L15*$C15</f>
        <v>26634.424000000006</v>
      </c>
      <c r="L15" s="115">
        <v>0.4</v>
      </c>
      <c r="M15" s="116">
        <f>E15+G15+I15+K15</f>
        <v>66586.060000000027</v>
      </c>
      <c r="N15" s="115">
        <f>M15/C15</f>
        <v>1.0000000000000002</v>
      </c>
    </row>
    <row r="16" spans="1:256" s="105" customFormat="1" ht="27.6" x14ac:dyDescent="0.3">
      <c r="A16" s="112" t="s">
        <v>17</v>
      </c>
      <c r="B16" s="113" t="str">
        <f>'PLANILHA PADRÃO'!B64</f>
        <v xml:space="preserve">SERVIÇOS DE INSTALAÇÃO DE EQUIPAMENTOS CFTV </v>
      </c>
      <c r="C16" s="114">
        <f>'PLANILHA PADRÃO'!F64</f>
        <v>24067.89</v>
      </c>
      <c r="D16" s="115">
        <f>C16/$C$19</f>
        <v>0.12795890367406629</v>
      </c>
      <c r="E16" s="114">
        <f>F16*$C16</f>
        <v>6016.9724999999999</v>
      </c>
      <c r="F16" s="115">
        <v>0.25</v>
      </c>
      <c r="G16" s="114">
        <f>H16*$C16</f>
        <v>6016.9724999999999</v>
      </c>
      <c r="H16" s="115">
        <v>0.25</v>
      </c>
      <c r="I16" s="114">
        <f>J16*$C16</f>
        <v>6016.9724999999999</v>
      </c>
      <c r="J16" s="115">
        <v>0.25</v>
      </c>
      <c r="K16" s="114">
        <f>L16*$C16</f>
        <v>6016.9724999999999</v>
      </c>
      <c r="L16" s="115">
        <v>0.25</v>
      </c>
      <c r="M16" s="116">
        <f>E16+G16+I16+K16</f>
        <v>24067.89</v>
      </c>
      <c r="N16" s="115">
        <f>M16/C16</f>
        <v>1</v>
      </c>
    </row>
    <row r="17" spans="1:14" s="105" customFormat="1" ht="13.8" x14ac:dyDescent="0.3">
      <c r="A17" s="112"/>
      <c r="B17" s="113"/>
      <c r="C17" s="114"/>
      <c r="D17" s="115"/>
      <c r="E17" s="114"/>
      <c r="F17" s="115"/>
      <c r="G17" s="114"/>
      <c r="H17" s="115"/>
      <c r="I17" s="114"/>
      <c r="J17" s="115"/>
      <c r="K17" s="114"/>
      <c r="L17" s="115"/>
      <c r="M17" s="116"/>
      <c r="N17" s="115"/>
    </row>
    <row r="18" spans="1:14" s="105" customFormat="1" ht="13.8" x14ac:dyDescent="0.3">
      <c r="A18" s="112"/>
      <c r="B18" s="113"/>
      <c r="C18" s="114"/>
      <c r="D18" s="115"/>
      <c r="E18" s="114"/>
      <c r="F18" s="115"/>
      <c r="G18" s="114"/>
      <c r="H18" s="115"/>
      <c r="I18" s="114"/>
      <c r="J18" s="115"/>
      <c r="K18" s="114"/>
      <c r="L18" s="115"/>
      <c r="M18" s="116"/>
      <c r="N18" s="115"/>
    </row>
    <row r="19" spans="1:14" s="105" customFormat="1" ht="13.8" x14ac:dyDescent="0.3">
      <c r="A19" s="117"/>
      <c r="B19" s="118" t="s">
        <v>178</v>
      </c>
      <c r="C19" s="119">
        <f>SUBTOTAL(9,C13:C18)</f>
        <v>188090.78000000003</v>
      </c>
      <c r="D19" s="120">
        <f>C19/$C$19</f>
        <v>1</v>
      </c>
      <c r="E19" s="119">
        <f>SUBTOTAL(9,E13:E18)</f>
        <v>30376.18</v>
      </c>
      <c r="F19" s="121">
        <f>E19/$C$19</f>
        <v>0.16149744288369688</v>
      </c>
      <c r="G19" s="119">
        <f>SUBTOTAL(9,G13:G18)</f>
        <v>38821.550500000012</v>
      </c>
      <c r="H19" s="122">
        <f>G19/$C$19</f>
        <v>0.20639794518370336</v>
      </c>
      <c r="I19" s="119">
        <f>SUBTOTAL(9,I13:I18)</f>
        <v>71626.128500000021</v>
      </c>
      <c r="J19" s="122">
        <f>I19/$C$19</f>
        <v>0.38080616444889009</v>
      </c>
      <c r="K19" s="119">
        <f>SUBTOTAL(9,K13:K18)</f>
        <v>47266.921000000002</v>
      </c>
      <c r="L19" s="121">
        <f>K19/$C$19</f>
        <v>0.25129844748370972</v>
      </c>
      <c r="M19" s="119">
        <f>SUBTOTAL(9,M13:M18)</f>
        <v>188090.78000000003</v>
      </c>
      <c r="N19" s="122">
        <f>M19/$C$19</f>
        <v>1</v>
      </c>
    </row>
    <row r="20" spans="1:14" s="105" customFormat="1" ht="13.8" x14ac:dyDescent="0.3">
      <c r="A20" s="117"/>
      <c r="B20" s="118" t="s">
        <v>179</v>
      </c>
      <c r="C20" s="123"/>
      <c r="D20" s="123"/>
      <c r="E20" s="119">
        <f>E19+C20</f>
        <v>30376.18</v>
      </c>
      <c r="F20" s="121">
        <f>E20/$C$19</f>
        <v>0.16149744288369688</v>
      </c>
      <c r="G20" s="119">
        <f>G19+E20</f>
        <v>69197.730500000005</v>
      </c>
      <c r="H20" s="122">
        <f>G20/$C$19</f>
        <v>0.36789538806740019</v>
      </c>
      <c r="I20" s="119">
        <f>I19+G20</f>
        <v>140823.85900000003</v>
      </c>
      <c r="J20" s="122">
        <f>I20/$C$19</f>
        <v>0.74870155251629034</v>
      </c>
      <c r="K20" s="119">
        <f>K19+I20</f>
        <v>188090.78000000003</v>
      </c>
      <c r="L20" s="122">
        <f>K20/$C$19</f>
        <v>1</v>
      </c>
      <c r="M20" s="119"/>
      <c r="N20" s="121"/>
    </row>
  </sheetData>
  <mergeCells count="19">
    <mergeCell ref="D7:I7"/>
    <mergeCell ref="J7:L7"/>
    <mergeCell ref="M7:N7"/>
    <mergeCell ref="A1:N1"/>
    <mergeCell ref="A8:N8"/>
    <mergeCell ref="A9:B9"/>
    <mergeCell ref="C9:N9"/>
    <mergeCell ref="C11:D11"/>
    <mergeCell ref="E11:F11"/>
    <mergeCell ref="G11:H11"/>
    <mergeCell ref="I11:J11"/>
    <mergeCell ref="K11:L11"/>
    <mergeCell ref="M11:N11"/>
    <mergeCell ref="A2:N4"/>
    <mergeCell ref="A5:N5"/>
    <mergeCell ref="A6:C6"/>
    <mergeCell ref="D6:L6"/>
    <mergeCell ref="M6:N6"/>
    <mergeCell ref="A7:C7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01DD075631F489FB52B8A646562BE" ma:contentTypeVersion="16" ma:contentTypeDescription="Crie um novo documento." ma:contentTypeScope="" ma:versionID="7ab947f7895446e9a22a3a301fac3396">
  <xsd:schema xmlns:xsd="http://www.w3.org/2001/XMLSchema" xmlns:xs="http://www.w3.org/2001/XMLSchema" xmlns:p="http://schemas.microsoft.com/office/2006/metadata/properties" xmlns:ns2="892e1768-c663-4c11-b2e6-7b3f0891167e" xmlns:ns3="8652b284-58f4-4e9f-b143-e826b79b45c6" targetNamespace="http://schemas.microsoft.com/office/2006/metadata/properties" ma:root="true" ma:fieldsID="68dbeff19c2054b50c1df3088ffcbc22" ns2:_="" ns3:_="">
    <xsd:import namespace="892e1768-c663-4c11-b2e6-7b3f0891167e"/>
    <xsd:import namespace="8652b284-58f4-4e9f-b143-e826b79b45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1768-c663-4c11-b2e6-7b3f08911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a6a1e614-b9a3-42af-9056-9c81558d6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2b284-58f4-4e9f-b143-e826b79b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9f03d-97fa-41c6-a4ba-42c69b0ee804}" ma:internalName="TaxCatchAll" ma:showField="CatchAllData" ma:web="8652b284-58f4-4e9f-b143-e826b79b4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52b284-58f4-4e9f-b143-e826b79b45c6" xsi:nil="true"/>
    <lcf76f155ced4ddcb4097134ff3c332f xmlns="892e1768-c663-4c11-b2e6-7b3f0891167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CAA99-9E1C-4F86-9B5F-5ECAFDE761D5}"/>
</file>

<file path=customXml/itemProps2.xml><?xml version="1.0" encoding="utf-8"?>
<ds:datastoreItem xmlns:ds="http://schemas.openxmlformats.org/officeDocument/2006/customXml" ds:itemID="{6106BC14-21BC-4CF6-8DC0-ABD3449B60E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652b284-58f4-4e9f-b143-e826b79b45c6"/>
    <ds:schemaRef ds:uri="http://schemas.microsoft.com/office/infopath/2007/PartnerControls"/>
    <ds:schemaRef ds:uri="http://purl.org/dc/elements/1.1/"/>
    <ds:schemaRef ds:uri="892e1768-c663-4c11-b2e6-7b3f089116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CB30E8-C437-4608-9990-B497F233B3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 PADRÃO</vt:lpstr>
      <vt:lpstr>COMPOSIÇÃO DO BDI</vt:lpstr>
      <vt:lpstr>COMPOSIÇÃO DO BDI REDUZIDO</vt:lpstr>
      <vt:lpstr>CRONOGRAMA FÍSICO-FINANCEIRO</vt:lpstr>
      <vt:lpstr>'PLANILHA PADRÃO'!Area_de_impressao</vt:lpstr>
      <vt:lpstr>BDI</vt:lpstr>
      <vt:lpstr>BDI_EQUI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ERMETE RABELLO LEITE</dc:creator>
  <cp:keywords/>
  <dc:description/>
  <cp:lastModifiedBy>luiz.nunes</cp:lastModifiedBy>
  <cp:revision/>
  <dcterms:created xsi:type="dcterms:W3CDTF">2006-06-23T20:18:04Z</dcterms:created>
  <dcterms:modified xsi:type="dcterms:W3CDTF">2022-06-13T20:48:29Z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0x0101001E301DD075631F489FB52B8A646562BE</vt:lpwstr>
  </property>
</Properties>
</file>